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nrfa\AppData\Local\Microsoft\Windows\INetCache\Content.Outlook\2LZ3KLVG\"/>
    </mc:Choice>
  </mc:AlternateContent>
  <xr:revisionPtr revIDLastSave="0" documentId="13_ncr:1_{F3A50445-C6D0-4A13-86F0-940423F5E64F}" xr6:coauthVersionLast="47" xr6:coauthVersionMax="47" xr10:uidLastSave="{00000000-0000-0000-0000-000000000000}"/>
  <workbookProtection workbookAlgorithmName="SHA-512" workbookHashValue="BWTn2nw1BC5+dnQDKLQiw4shRuo+2dd4Mt5Hjh+YtYgr6HC7qDbSSiiZ2a3aD/pBLtK+rSB0ZiOSFuRvATgUnQ==" workbookSaltValue="ZMZ0cYxwQUoVGyQRp6DcIw==" workbookSpinCount="100000" lockStructure="1"/>
  <bookViews>
    <workbookView xWindow="28680" yWindow="-120" windowWidth="29040" windowHeight="17640" xr2:uid="{00000000-000D-0000-FFFF-FFFF00000000}"/>
  </bookViews>
  <sheets>
    <sheet name="Einsatzstoffe Nr. 2.1" sheetId="11" r:id="rId1"/>
    <sheet name="CO2_Minderung_2.1" sheetId="1" r:id="rId2"/>
    <sheet name="Kostenplan Nr. 2.1" sheetId="6" r:id="rId3"/>
    <sheet name="Anlage W Nr. 2.1" sheetId="5" r:id="rId4"/>
    <sheet name="Fördergrenzen" sheetId="7" state="hidden" r:id="rId5"/>
    <sheet name="Wirtschaftlichkeitsberechnung" sheetId="9" state="hidden" r:id="rId6"/>
    <sheet name="Gasaufbereitungsanlagen" sheetId="8" state="hidden" r:id="rId7"/>
    <sheet name="Nabisy-Liste" sheetId="3" state="hidden" r:id="rId8"/>
  </sheets>
  <externalReferences>
    <externalReference r:id="rId9"/>
    <externalReference r:id="rId10"/>
    <externalReference r:id="rId11"/>
    <externalReference r:id="rId12"/>
    <externalReference r:id="rId13"/>
    <externalReference r:id="rId14"/>
    <externalReference r:id="rId15"/>
    <externalReference r:id="rId16"/>
  </externalReferences>
  <definedNames>
    <definedName name="AndereOptionenAbschalten" localSheetId="0">[1]!AndereOptionenAbschalten</definedName>
    <definedName name="AndereOptionenAbschalten">[1]!AndereOptionenAbschalten</definedName>
    <definedName name="Button1_Klick" localSheetId="0">[2]!Button1_Klick</definedName>
    <definedName name="Button1_Klick">[2]!Button1_Klick</definedName>
    <definedName name="ButtonOK_BeiKlick" localSheetId="0">[1]!ButtonOK_BeiKlick</definedName>
    <definedName name="ButtonOK_BeiKlick">[1]!ButtonOK_BeiKlick</definedName>
    <definedName name="DialogObjekte_BeiAnzeigen" localSheetId="0">[1]!DialogObjekte_BeiAnzeigen</definedName>
    <definedName name="DialogObjekte_BeiAnzeigen">[1]!DialogObjekte_BeiAnzeigen</definedName>
    <definedName name="DL_fertig" localSheetId="0">[2]!DL_fertig</definedName>
    <definedName name="DL_fertig">[2]!DL_fertig</definedName>
    <definedName name="DrehRaster_BeiÄnderung" localSheetId="0">[1]!DrehRaster_BeiÄnderung</definedName>
    <definedName name="DrehRaster_BeiÄnderung">[1]!DrehRaster_BeiÄnderung</definedName>
    <definedName name="_xlnm.Print_Area" localSheetId="0">'Einsatzstoffe Nr. 2.1'!$A$1:$H$60</definedName>
    <definedName name="_xlnm.Print_Area" localSheetId="2">'Kostenplan Nr. 2.1'!$A$1:$E$64</definedName>
    <definedName name="_xlnm.Print_Area" localSheetId="5">Wirtschaftlichkeitsberechnung!$A$3:$J$73</definedName>
    <definedName name="Hinzufügen_BeiKlick" localSheetId="0">[3]!Hinzufügen_BeiKlick</definedName>
    <definedName name="Hinzufügen_BeiKlick">[3]!Hinzufügen_BeiKlick</definedName>
    <definedName name="ja" localSheetId="0">[4]!Hinzufügen_BeiKlick</definedName>
    <definedName name="ja">[4]!Hinzufügen_BeiKlick</definedName>
    <definedName name="Löschen_BeiKlick" localSheetId="0">[3]!Löschen_BeiKlick</definedName>
    <definedName name="Löschen_BeiKlick">[3]!Löschen_BeiKlick</definedName>
    <definedName name="Modul_DL1.Button1_Klick" localSheetId="0">[5]!Modul_DL1.Button1_Klick</definedName>
    <definedName name="Modul_DL1.Button1_Klick">[5]!Modul_DL1.Button1_Klick</definedName>
    <definedName name="neu" localSheetId="5">[6]Tabelle1!$B$2</definedName>
    <definedName name="neu">[7]Nährstoffgehalte!$B$2</definedName>
    <definedName name="SortiertDazu_BeiKlick" localSheetId="0">[3]!SortiertDazu_BeiKlick</definedName>
    <definedName name="SortiertDazu_BeiKlick">[3]!SortiertDazu_BeiKlick</definedName>
    <definedName name="TextRaster_BeiÄnderung" localSheetId="0">[1]!TextRaster_BeiÄnderung</definedName>
    <definedName name="TextRaster_BeiÄnderung">[1]!TextRaster_BeiÄnderung</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11" l="1"/>
  <c r="C28" i="11"/>
  <c r="B52" i="11"/>
  <c r="A4" i="1" l="1" a="1"/>
  <c r="A4" i="1" s="1"/>
  <c r="H47" i="9"/>
  <c r="A48" i="9"/>
  <c r="H48" i="9"/>
  <c r="H46" i="9"/>
  <c r="H45" i="9"/>
  <c r="H44" i="9"/>
  <c r="H43" i="9"/>
  <c r="H42" i="9"/>
  <c r="F41" i="9"/>
  <c r="G41" i="9"/>
  <c r="H41" i="9"/>
  <c r="D35" i="9"/>
  <c r="H35" i="9"/>
  <c r="E11" i="9"/>
  <c r="E12" i="9" s="1"/>
  <c r="E13" i="9" s="1"/>
  <c r="E14" i="9" s="1"/>
  <c r="E15" i="9" s="1"/>
  <c r="E16" i="9" s="1"/>
  <c r="E17" i="9" s="1"/>
  <c r="E18" i="9" s="1"/>
  <c r="E21" i="9" s="1"/>
  <c r="D41" i="9" l="1"/>
  <c r="E35" i="9"/>
  <c r="E22" i="9"/>
  <c r="G31" i="11"/>
  <c r="A1" i="9" a="1"/>
  <c r="A1" i="9" s="1"/>
  <c r="B5" i="5" a="1"/>
  <c r="B5" i="5" s="1"/>
  <c r="A5" i="6" a="1"/>
  <c r="A5" i="6" s="1"/>
  <c r="C43" i="5"/>
  <c r="A47" i="9" s="1" a="1"/>
  <c r="A47" i="9" s="1"/>
  <c r="C42" i="5"/>
  <c r="A46" i="9" s="1" a="1"/>
  <c r="A46" i="9" s="1"/>
  <c r="C41" i="5"/>
  <c r="C40" i="5"/>
  <c r="A45" i="9" s="1" a="1"/>
  <c r="A45" i="9" s="1"/>
  <c r="G46" i="11" l="1"/>
  <c r="H46" i="11" s="1"/>
  <c r="G45" i="11"/>
  <c r="H45" i="11" s="1"/>
  <c r="G44" i="11"/>
  <c r="H44" i="11" s="1"/>
  <c r="G43" i="11"/>
  <c r="H43" i="11" s="1"/>
  <c r="G42" i="11"/>
  <c r="H42" i="11" s="1"/>
  <c r="G41" i="11"/>
  <c r="H41" i="11" s="1"/>
  <c r="G40" i="11"/>
  <c r="H40" i="11" s="1"/>
  <c r="G39" i="11"/>
  <c r="H39" i="11" s="1"/>
  <c r="G38" i="11"/>
  <c r="H38" i="11" s="1"/>
  <c r="G37" i="11"/>
  <c r="H37" i="11" s="1"/>
  <c r="G36" i="11"/>
  <c r="H36" i="11" s="1"/>
  <c r="G35" i="11"/>
  <c r="H35" i="11" s="1"/>
  <c r="B40" i="6" l="1"/>
  <c r="B27" i="6"/>
  <c r="G32" i="11" l="1"/>
  <c r="H32" i="11" s="1"/>
  <c r="G33" i="11"/>
  <c r="H33" i="11" s="1"/>
  <c r="G34" i="11"/>
  <c r="H34" i="11" s="1"/>
  <c r="G47" i="11"/>
  <c r="H47" i="11" s="1"/>
  <c r="G48" i="11"/>
  <c r="H48" i="11" s="1"/>
  <c r="G49" i="11"/>
  <c r="H49" i="11" s="1"/>
  <c r="G50" i="11"/>
  <c r="H50" i="11" s="1"/>
  <c r="G51" i="11"/>
  <c r="H51" i="11" s="1"/>
  <c r="H31" i="11"/>
  <c r="F12" i="11"/>
  <c r="F13" i="11"/>
  <c r="F14" i="11"/>
  <c r="F15" i="11"/>
  <c r="F16" i="11"/>
  <c r="F17" i="11"/>
  <c r="F18" i="11"/>
  <c r="F19" i="11"/>
  <c r="F20" i="11"/>
  <c r="F21" i="11"/>
  <c r="F22" i="11"/>
  <c r="F23" i="11"/>
  <c r="F24" i="11"/>
  <c r="F25" i="11"/>
  <c r="F26" i="11"/>
  <c r="F27" i="11"/>
  <c r="F28" i="11"/>
  <c r="F29" i="11"/>
  <c r="E12" i="11"/>
  <c r="E13" i="11"/>
  <c r="E14" i="11"/>
  <c r="E15" i="11"/>
  <c r="E16" i="11"/>
  <c r="E17" i="11"/>
  <c r="E18" i="11"/>
  <c r="E19" i="11"/>
  <c r="E20" i="11"/>
  <c r="E21" i="11"/>
  <c r="E22" i="11"/>
  <c r="E23" i="11"/>
  <c r="E24" i="11"/>
  <c r="E25" i="11"/>
  <c r="E26" i="11"/>
  <c r="E27" i="11"/>
  <c r="E28" i="11"/>
  <c r="E29" i="11"/>
  <c r="D12" i="11"/>
  <c r="D13" i="11"/>
  <c r="D14" i="11"/>
  <c r="D15" i="11"/>
  <c r="D16" i="11"/>
  <c r="D17" i="11"/>
  <c r="D18" i="11"/>
  <c r="D19" i="11"/>
  <c r="D20" i="11"/>
  <c r="D21" i="11"/>
  <c r="D22" i="11"/>
  <c r="D23" i="11"/>
  <c r="D24" i="11"/>
  <c r="D25" i="11"/>
  <c r="D26" i="11"/>
  <c r="D27" i="11"/>
  <c r="D28" i="11"/>
  <c r="G28" i="11" s="1"/>
  <c r="H28" i="11" s="1"/>
  <c r="D29" i="11"/>
  <c r="F11" i="11"/>
  <c r="E11" i="11"/>
  <c r="D11" i="11"/>
  <c r="C12" i="11"/>
  <c r="C13" i="11"/>
  <c r="C14" i="11"/>
  <c r="C15" i="11"/>
  <c r="C16" i="11"/>
  <c r="C17" i="11"/>
  <c r="G17" i="11" s="1"/>
  <c r="C18" i="11"/>
  <c r="C19" i="11"/>
  <c r="C20" i="11"/>
  <c r="C21" i="11"/>
  <c r="C22" i="11"/>
  <c r="C23" i="11"/>
  <c r="C24" i="11"/>
  <c r="C25" i="11"/>
  <c r="C26" i="11"/>
  <c r="C27" i="11"/>
  <c r="G27" i="11" s="1"/>
  <c r="H27" i="11" s="1"/>
  <c r="C29" i="11"/>
  <c r="G25" i="11" l="1"/>
  <c r="H25" i="11" s="1"/>
  <c r="G11" i="11"/>
  <c r="H11" i="11" s="1"/>
  <c r="G24" i="11"/>
  <c r="H24" i="11" s="1"/>
  <c r="G16" i="11"/>
  <c r="H16" i="11" s="1"/>
  <c r="G29" i="11"/>
  <c r="H29" i="11" s="1"/>
  <c r="G26" i="11"/>
  <c r="H26" i="11" s="1"/>
  <c r="G13" i="11"/>
  <c r="H13" i="11" s="1"/>
  <c r="G21" i="11"/>
  <c r="H21" i="11" s="1"/>
  <c r="H17" i="11"/>
  <c r="G15" i="11"/>
  <c r="H15" i="11" s="1"/>
  <c r="G18" i="11"/>
  <c r="H18" i="11" s="1"/>
  <c r="G19" i="11"/>
  <c r="H19" i="11" s="1"/>
  <c r="G20" i="11"/>
  <c r="H20" i="11" s="1"/>
  <c r="G23" i="11"/>
  <c r="H23" i="11" s="1"/>
  <c r="G12" i="11"/>
  <c r="H12" i="11" s="1"/>
  <c r="G22" i="11"/>
  <c r="H22" i="11" s="1"/>
  <c r="G14" i="11"/>
  <c r="H14" i="11" s="1"/>
  <c r="B10" i="6"/>
  <c r="G10" i="6" s="1" a="1"/>
  <c r="G10" i="6" s="1"/>
  <c r="I16" i="5"/>
  <c r="D6" i="9" s="1"/>
  <c r="I15" i="5"/>
  <c r="E33" i="9" l="1"/>
  <c r="B22" i="9"/>
  <c r="A22" i="9"/>
  <c r="A33" i="9" s="1"/>
  <c r="B21" i="9"/>
  <c r="A21" i="9"/>
  <c r="E29" i="9"/>
  <c r="E30" i="9"/>
  <c r="E31" i="9"/>
  <c r="E32" i="9"/>
  <c r="E27" i="9"/>
  <c r="E28" i="9"/>
  <c r="E26" i="9"/>
  <c r="D18" i="9"/>
  <c r="D14" i="9"/>
  <c r="D15" i="9"/>
  <c r="D16" i="9"/>
  <c r="D17" i="9"/>
  <c r="D12" i="9"/>
  <c r="D13" i="9"/>
  <c r="D21" i="9" s="1"/>
  <c r="D22" i="9" s="1"/>
  <c r="D11" i="9"/>
  <c r="B11" i="6"/>
  <c r="B22" i="1"/>
  <c r="B23" i="1" s="1"/>
  <c r="I21" i="9" l="1"/>
  <c r="H21" i="9"/>
  <c r="F21" i="9"/>
  <c r="G21" i="9" s="1"/>
  <c r="E38" i="9"/>
  <c r="G38" i="9"/>
  <c r="F5" i="9" l="1"/>
  <c r="A41" i="9"/>
  <c r="A42" i="9"/>
  <c r="A43" i="9"/>
  <c r="A57" i="9" l="1"/>
  <c r="B17" i="9" l="1"/>
  <c r="B19" i="6"/>
  <c r="B12" i="9"/>
  <c r="B13" i="9"/>
  <c r="F12" i="9"/>
  <c r="F13" i="9"/>
  <c r="A12" i="9"/>
  <c r="A27" i="9" s="1"/>
  <c r="A13" i="9"/>
  <c r="A28" i="9" s="1"/>
  <c r="A55" i="9"/>
  <c r="A54" i="9"/>
  <c r="A53" i="9"/>
  <c r="B31" i="6" l="1"/>
  <c r="B33" i="6" s="1"/>
  <c r="I13" i="9"/>
  <c r="D28" i="9"/>
  <c r="H12" i="9"/>
  <c r="D27" i="9"/>
  <c r="I12" i="9"/>
  <c r="H13" i="9"/>
  <c r="F6" i="9"/>
  <c r="G40" i="9"/>
  <c r="G39" i="9"/>
  <c r="A40" i="9"/>
  <c r="A39" i="9"/>
  <c r="A38" i="9" l="1"/>
  <c r="F17" i="9" l="1"/>
  <c r="F18" i="9"/>
  <c r="B18" i="9"/>
  <c r="A18" i="9"/>
  <c r="A17" i="9"/>
  <c r="A32" i="9" s="1"/>
  <c r="H17" i="9"/>
  <c r="B11" i="9"/>
  <c r="B14" i="9"/>
  <c r="B15" i="9"/>
  <c r="B16" i="9"/>
  <c r="A11" i="9"/>
  <c r="A14" i="9"/>
  <c r="A15" i="9"/>
  <c r="A16" i="9"/>
  <c r="A31" i="9" s="1"/>
  <c r="D30" i="9" l="1"/>
  <c r="H30" i="9" s="1"/>
  <c r="D29" i="9"/>
  <c r="H29" i="9" s="1"/>
  <c r="D31" i="9"/>
  <c r="H31" i="9" s="1"/>
  <c r="H18" i="9"/>
  <c r="B19" i="9"/>
  <c r="D26" i="9"/>
  <c r="H26" i="9" s="1"/>
  <c r="D32" i="9"/>
  <c r="H32" i="9" s="1"/>
  <c r="I18" i="9"/>
  <c r="I17" i="9"/>
  <c r="J11" i="9" l="1"/>
  <c r="J12" i="9"/>
  <c r="J17" i="9"/>
  <c r="J13" i="9"/>
  <c r="J15" i="9"/>
  <c r="J18" i="9"/>
  <c r="J16" i="9"/>
  <c r="J14" i="9"/>
  <c r="B475" i="9"/>
  <c r="B474" i="9"/>
  <c r="B473" i="9"/>
  <c r="B472" i="9"/>
  <c r="B471" i="9"/>
  <c r="J471" i="9" s="1"/>
  <c r="B470" i="9"/>
  <c r="B469" i="9"/>
  <c r="B468" i="9"/>
  <c r="B467" i="9"/>
  <c r="B466" i="9"/>
  <c r="B465" i="9"/>
  <c r="B464" i="9"/>
  <c r="B463" i="9"/>
  <c r="B462" i="9"/>
  <c r="B461" i="9"/>
  <c r="B460" i="9"/>
  <c r="B459" i="9"/>
  <c r="B458" i="9"/>
  <c r="B457" i="9"/>
  <c r="B456" i="9"/>
  <c r="B455" i="9"/>
  <c r="J455" i="9" s="1"/>
  <c r="B454" i="9"/>
  <c r="B453" i="9"/>
  <c r="B452" i="9"/>
  <c r="B451" i="9"/>
  <c r="B450" i="9"/>
  <c r="B449" i="9"/>
  <c r="B448" i="9"/>
  <c r="B447" i="9"/>
  <c r="J447" i="9" s="1"/>
  <c r="B446" i="9"/>
  <c r="B442" i="9"/>
  <c r="B441" i="9"/>
  <c r="H441" i="9" s="1"/>
  <c r="B440" i="9"/>
  <c r="J440" i="9" s="1"/>
  <c r="B439" i="9"/>
  <c r="N439" i="9" s="1"/>
  <c r="B438" i="9"/>
  <c r="N438" i="9" s="1"/>
  <c r="B437" i="9"/>
  <c r="B436" i="9"/>
  <c r="B435" i="9"/>
  <c r="J435" i="9" s="1"/>
  <c r="B434" i="9"/>
  <c r="N434" i="9" s="1"/>
  <c r="B433" i="9"/>
  <c r="N433" i="9" s="1"/>
  <c r="B432" i="9"/>
  <c r="B431" i="9"/>
  <c r="B430" i="9"/>
  <c r="J430" i="9" s="1"/>
  <c r="B429" i="9"/>
  <c r="N429" i="9" s="1"/>
  <c r="B428" i="9"/>
  <c r="J428" i="9" s="1"/>
  <c r="B427" i="9"/>
  <c r="N427" i="9" s="1"/>
  <c r="B426" i="9"/>
  <c r="B425" i="9"/>
  <c r="H425" i="9" s="1"/>
  <c r="B424" i="9"/>
  <c r="F424" i="9" s="1"/>
  <c r="B423" i="9"/>
  <c r="N423" i="9" s="1"/>
  <c r="B422" i="9"/>
  <c r="N422" i="9" s="1"/>
  <c r="B421" i="9"/>
  <c r="B420" i="9"/>
  <c r="B419" i="9"/>
  <c r="J419" i="9" s="1"/>
  <c r="B418" i="9"/>
  <c r="N418" i="9" s="1"/>
  <c r="B417" i="9"/>
  <c r="N417" i="9" s="1"/>
  <c r="B416" i="9"/>
  <c r="H416" i="9" s="1"/>
  <c r="B415" i="9"/>
  <c r="B414" i="9"/>
  <c r="J414" i="9" s="1"/>
  <c r="B413" i="9"/>
  <c r="N413" i="9" s="1"/>
  <c r="B409" i="9"/>
  <c r="J409" i="9" s="1"/>
  <c r="B408" i="9"/>
  <c r="B407" i="9"/>
  <c r="N407" i="9" s="1"/>
  <c r="B406" i="9"/>
  <c r="B405" i="9"/>
  <c r="J405" i="9" s="1"/>
  <c r="B404" i="9"/>
  <c r="B403" i="9"/>
  <c r="N403" i="9" s="1"/>
  <c r="B402" i="9"/>
  <c r="B401" i="9"/>
  <c r="J401" i="9" s="1"/>
  <c r="B400" i="9"/>
  <c r="B399" i="9"/>
  <c r="N399" i="9" s="1"/>
  <c r="B398" i="9"/>
  <c r="B397" i="9"/>
  <c r="J397" i="9" s="1"/>
  <c r="B396" i="9"/>
  <c r="B395" i="9"/>
  <c r="N395" i="9" s="1"/>
  <c r="B394" i="9"/>
  <c r="B393" i="9"/>
  <c r="J393" i="9" s="1"/>
  <c r="B392" i="9"/>
  <c r="B391" i="9"/>
  <c r="N391" i="9" s="1"/>
  <c r="B390" i="9"/>
  <c r="B389" i="9"/>
  <c r="J389" i="9" s="1"/>
  <c r="B388" i="9"/>
  <c r="B387" i="9"/>
  <c r="J387" i="9" s="1"/>
  <c r="B386" i="9"/>
  <c r="J386" i="9" s="1"/>
  <c r="B385" i="9"/>
  <c r="B384" i="9"/>
  <c r="B383" i="9"/>
  <c r="J383" i="9" s="1"/>
  <c r="B382" i="9"/>
  <c r="B381" i="9"/>
  <c r="B380" i="9"/>
  <c r="H380" i="9" s="1"/>
  <c r="B376" i="9"/>
  <c r="B375" i="9"/>
  <c r="B374" i="9"/>
  <c r="B373" i="9"/>
  <c r="J373" i="9" s="1"/>
  <c r="B372" i="9"/>
  <c r="J372" i="9" s="1"/>
  <c r="B371" i="9"/>
  <c r="B370" i="9"/>
  <c r="B369" i="9"/>
  <c r="B368" i="9"/>
  <c r="B367" i="9"/>
  <c r="B366" i="9"/>
  <c r="B365" i="9"/>
  <c r="F365" i="9" s="1"/>
  <c r="B364" i="9"/>
  <c r="B363" i="9"/>
  <c r="B362" i="9"/>
  <c r="B361" i="9"/>
  <c r="J361" i="9" s="1"/>
  <c r="B360" i="9"/>
  <c r="B359" i="9"/>
  <c r="B358" i="9"/>
  <c r="B357" i="9"/>
  <c r="B356" i="9"/>
  <c r="B355" i="9"/>
  <c r="B354" i="9"/>
  <c r="B353" i="9"/>
  <c r="B352" i="9"/>
  <c r="B351" i="9"/>
  <c r="B350" i="9"/>
  <c r="B349" i="9"/>
  <c r="B348" i="9"/>
  <c r="B347" i="9"/>
  <c r="B343" i="9"/>
  <c r="N343" i="9" s="1"/>
  <c r="B342" i="9"/>
  <c r="H342" i="9" s="1"/>
  <c r="B341" i="9"/>
  <c r="N341" i="9" s="1"/>
  <c r="B340" i="9"/>
  <c r="N340" i="9" s="1"/>
  <c r="B339" i="9"/>
  <c r="N339" i="9" s="1"/>
  <c r="B338" i="9"/>
  <c r="H338" i="9" s="1"/>
  <c r="B337" i="9"/>
  <c r="N337" i="9" s="1"/>
  <c r="B336" i="9"/>
  <c r="N336" i="9" s="1"/>
  <c r="B335" i="9"/>
  <c r="N335" i="9" s="1"/>
  <c r="B334" i="9"/>
  <c r="F334" i="9" s="1"/>
  <c r="B333" i="9"/>
  <c r="N333" i="9" s="1"/>
  <c r="B332" i="9"/>
  <c r="N332" i="9" s="1"/>
  <c r="B331" i="9"/>
  <c r="N331" i="9" s="1"/>
  <c r="B330" i="9"/>
  <c r="F330" i="9" s="1"/>
  <c r="B329" i="9"/>
  <c r="N329" i="9" s="1"/>
  <c r="B328" i="9"/>
  <c r="N328" i="9" s="1"/>
  <c r="B327" i="9"/>
  <c r="N327" i="9" s="1"/>
  <c r="B326" i="9"/>
  <c r="H326" i="9" s="1"/>
  <c r="B325" i="9"/>
  <c r="N325" i="9" s="1"/>
  <c r="B324" i="9"/>
  <c r="N324" i="9" s="1"/>
  <c r="B323" i="9"/>
  <c r="N323" i="9" s="1"/>
  <c r="B322" i="9"/>
  <c r="B321" i="9"/>
  <c r="N321" i="9" s="1"/>
  <c r="B320" i="9"/>
  <c r="N320" i="9" s="1"/>
  <c r="B319" i="9"/>
  <c r="N319" i="9" s="1"/>
  <c r="B318" i="9"/>
  <c r="J318" i="9" s="1"/>
  <c r="B317" i="9"/>
  <c r="N317" i="9" s="1"/>
  <c r="B316" i="9"/>
  <c r="N316" i="9" s="1"/>
  <c r="B315" i="9"/>
  <c r="N315" i="9" s="1"/>
  <c r="B314" i="9"/>
  <c r="H314" i="9" s="1"/>
  <c r="B310" i="9"/>
  <c r="N310" i="9" s="1"/>
  <c r="B309" i="9"/>
  <c r="B308" i="9"/>
  <c r="N308" i="9" s="1"/>
  <c r="B307" i="9"/>
  <c r="J307" i="9" s="1"/>
  <c r="B306" i="9"/>
  <c r="N306" i="9" s="1"/>
  <c r="B305" i="9"/>
  <c r="N305" i="9" s="1"/>
  <c r="B304" i="9"/>
  <c r="B303" i="9"/>
  <c r="B302" i="9"/>
  <c r="N302" i="9" s="1"/>
  <c r="B301" i="9"/>
  <c r="N301" i="9" s="1"/>
  <c r="B300" i="9"/>
  <c r="N300" i="9" s="1"/>
  <c r="B299" i="9"/>
  <c r="H299" i="9" s="1"/>
  <c r="B298" i="9"/>
  <c r="B297" i="9"/>
  <c r="J297" i="9" s="1"/>
  <c r="B296" i="9"/>
  <c r="N296" i="9" s="1"/>
  <c r="B295" i="9"/>
  <c r="J295" i="9" s="1"/>
  <c r="B294" i="9"/>
  <c r="B293" i="9"/>
  <c r="B292" i="9"/>
  <c r="H292" i="9" s="1"/>
  <c r="B291" i="9"/>
  <c r="F291" i="9" s="1"/>
  <c r="B290" i="9"/>
  <c r="N290" i="9" s="1"/>
  <c r="B289" i="9"/>
  <c r="B288" i="9"/>
  <c r="B287" i="9"/>
  <c r="B286" i="9"/>
  <c r="N286" i="9" s="1"/>
  <c r="B285" i="9"/>
  <c r="N285" i="9" s="1"/>
  <c r="B284" i="9"/>
  <c r="N284" i="9" s="1"/>
  <c r="B283" i="9"/>
  <c r="J283" i="9" s="1"/>
  <c r="B282" i="9"/>
  <c r="B281" i="9"/>
  <c r="J281" i="9" s="1"/>
  <c r="B277" i="9"/>
  <c r="F277" i="9" s="1"/>
  <c r="B276" i="9"/>
  <c r="F276" i="9" s="1"/>
  <c r="B275" i="9"/>
  <c r="H275" i="9" s="1"/>
  <c r="B274" i="9"/>
  <c r="F274" i="9" s="1"/>
  <c r="B273" i="9"/>
  <c r="F273" i="9" s="1"/>
  <c r="B272" i="9"/>
  <c r="F272" i="9" s="1"/>
  <c r="B271" i="9"/>
  <c r="H271" i="9" s="1"/>
  <c r="B270" i="9"/>
  <c r="F270" i="9" s="1"/>
  <c r="B269" i="9"/>
  <c r="F269" i="9" s="1"/>
  <c r="B268" i="9"/>
  <c r="F268" i="9" s="1"/>
  <c r="B267" i="9"/>
  <c r="H267" i="9" s="1"/>
  <c r="B266" i="9"/>
  <c r="F266" i="9" s="1"/>
  <c r="B265" i="9"/>
  <c r="F265" i="9" s="1"/>
  <c r="B264" i="9"/>
  <c r="F264" i="9" s="1"/>
  <c r="B263" i="9"/>
  <c r="H263" i="9" s="1"/>
  <c r="B262" i="9"/>
  <c r="F262" i="9" s="1"/>
  <c r="B261" i="9"/>
  <c r="F261" i="9" s="1"/>
  <c r="B260" i="9"/>
  <c r="F260" i="9" s="1"/>
  <c r="B259" i="9"/>
  <c r="H259" i="9" s="1"/>
  <c r="B258" i="9"/>
  <c r="F258" i="9" s="1"/>
  <c r="B257" i="9"/>
  <c r="J257" i="9" s="1"/>
  <c r="B256" i="9"/>
  <c r="J256" i="9" s="1"/>
  <c r="B255" i="9"/>
  <c r="B254" i="9"/>
  <c r="H254" i="9" s="1"/>
  <c r="B253" i="9"/>
  <c r="B252" i="9"/>
  <c r="B251" i="9"/>
  <c r="B250" i="9"/>
  <c r="J250" i="9" s="1"/>
  <c r="B249" i="9"/>
  <c r="J249" i="9" s="1"/>
  <c r="B248" i="9"/>
  <c r="B244" i="9"/>
  <c r="B243" i="9"/>
  <c r="B242" i="9"/>
  <c r="H242" i="9" s="1"/>
  <c r="B241" i="9"/>
  <c r="B240" i="9"/>
  <c r="B239" i="9"/>
  <c r="F239" i="9" s="1"/>
  <c r="B238" i="9"/>
  <c r="J238" i="9" s="1"/>
  <c r="B237" i="9"/>
  <c r="B236" i="9"/>
  <c r="B235" i="9"/>
  <c r="B234" i="9"/>
  <c r="H234" i="9" s="1"/>
  <c r="B233" i="9"/>
  <c r="B232" i="9"/>
  <c r="B231" i="9"/>
  <c r="H231" i="9" s="1"/>
  <c r="B230" i="9"/>
  <c r="J230" i="9" s="1"/>
  <c r="B229" i="9"/>
  <c r="B228" i="9"/>
  <c r="B227" i="9"/>
  <c r="H227" i="9" s="1"/>
  <c r="B226" i="9"/>
  <c r="J226" i="9" s="1"/>
  <c r="B225" i="9"/>
  <c r="B224" i="9"/>
  <c r="B223" i="9"/>
  <c r="F223" i="9" s="1"/>
  <c r="B222" i="9"/>
  <c r="B221" i="9"/>
  <c r="B220" i="9"/>
  <c r="B219" i="9"/>
  <c r="J219" i="9" s="1"/>
  <c r="B218" i="9"/>
  <c r="B217" i="9"/>
  <c r="B216" i="9"/>
  <c r="N215" i="9"/>
  <c r="J215" i="9"/>
  <c r="H215" i="9"/>
  <c r="F215" i="9"/>
  <c r="M211" i="9"/>
  <c r="H211" i="9"/>
  <c r="M210" i="9"/>
  <c r="H210" i="9"/>
  <c r="M209" i="9"/>
  <c r="L209" i="9"/>
  <c r="H209" i="9"/>
  <c r="M208" i="9"/>
  <c r="H208" i="9"/>
  <c r="M207" i="9"/>
  <c r="L207" i="9"/>
  <c r="H207" i="9"/>
  <c r="M206" i="9"/>
  <c r="H206" i="9"/>
  <c r="B205" i="9"/>
  <c r="B204" i="9"/>
  <c r="B203" i="9"/>
  <c r="B202" i="9"/>
  <c r="J202" i="9" s="1"/>
  <c r="B201" i="9"/>
  <c r="B200" i="9"/>
  <c r="B199" i="9"/>
  <c r="F199" i="9" s="1"/>
  <c r="B197" i="9"/>
  <c r="B196" i="9"/>
  <c r="B195" i="9"/>
  <c r="B194" i="9"/>
  <c r="J194" i="9" s="1"/>
  <c r="B193" i="9"/>
  <c r="J193" i="9" s="1"/>
  <c r="B187" i="9"/>
  <c r="J187" i="9" s="1"/>
  <c r="B186" i="9"/>
  <c r="B185" i="9"/>
  <c r="H185" i="9" s="1"/>
  <c r="B184" i="9"/>
  <c r="B183" i="9"/>
  <c r="B182" i="9"/>
  <c r="B174" i="9"/>
  <c r="B173" i="9"/>
  <c r="B172" i="9"/>
  <c r="B171" i="9"/>
  <c r="B170" i="9"/>
  <c r="B169" i="9"/>
  <c r="B168" i="9"/>
  <c r="B167" i="9"/>
  <c r="B166" i="9"/>
  <c r="B165" i="9"/>
  <c r="B164" i="9"/>
  <c r="B163" i="9"/>
  <c r="B162" i="9"/>
  <c r="B161" i="9"/>
  <c r="B160" i="9"/>
  <c r="B159" i="9"/>
  <c r="B158" i="9"/>
  <c r="B157" i="9"/>
  <c r="B156" i="9"/>
  <c r="J156" i="9" s="1"/>
  <c r="B155" i="9"/>
  <c r="B154" i="9"/>
  <c r="H154" i="9" s="1"/>
  <c r="B153" i="9"/>
  <c r="J153" i="9" s="1"/>
  <c r="B152" i="9"/>
  <c r="J152" i="9" s="1"/>
  <c r="B151" i="9"/>
  <c r="B150" i="9"/>
  <c r="J150" i="9" s="1"/>
  <c r="B149" i="9"/>
  <c r="J149" i="9" s="1"/>
  <c r="B148" i="9"/>
  <c r="B147" i="9"/>
  <c r="B146" i="9"/>
  <c r="B145" i="9"/>
  <c r="B144" i="9"/>
  <c r="B143" i="9"/>
  <c r="B142" i="9"/>
  <c r="F142" i="9" s="1"/>
  <c r="B141" i="9"/>
  <c r="J141" i="9" s="1"/>
  <c r="B140" i="9"/>
  <c r="B139" i="9"/>
  <c r="B138" i="9"/>
  <c r="H138" i="9" s="1"/>
  <c r="B137" i="9"/>
  <c r="B136" i="9"/>
  <c r="B135" i="9"/>
  <c r="B134" i="9"/>
  <c r="B133" i="9"/>
  <c r="H133" i="9" s="1"/>
  <c r="B132" i="9"/>
  <c r="J132" i="9" s="1"/>
  <c r="B131" i="9"/>
  <c r="B130" i="9"/>
  <c r="J130" i="9" s="1"/>
  <c r="B129" i="9"/>
  <c r="J129" i="9" s="1"/>
  <c r="B128" i="9"/>
  <c r="J128" i="9" s="1"/>
  <c r="B127" i="9"/>
  <c r="B126" i="9"/>
  <c r="B125" i="9"/>
  <c r="H125" i="9" s="1"/>
  <c r="B124" i="9"/>
  <c r="J124" i="9" s="1"/>
  <c r="B123" i="9"/>
  <c r="B122" i="9"/>
  <c r="J122" i="9" s="1"/>
  <c r="B121" i="9"/>
  <c r="J121" i="9" s="1"/>
  <c r="B120" i="9"/>
  <c r="J120" i="9" s="1"/>
  <c r="B119" i="9"/>
  <c r="B118" i="9"/>
  <c r="H118" i="9" s="1"/>
  <c r="B117" i="9"/>
  <c r="H117" i="9" s="1"/>
  <c r="B116" i="9"/>
  <c r="B115" i="9"/>
  <c r="B114" i="9"/>
  <c r="H114" i="9" s="1"/>
  <c r="B113" i="9"/>
  <c r="J113" i="9" s="1"/>
  <c r="B112" i="9"/>
  <c r="J112" i="9" s="1"/>
  <c r="B111" i="9"/>
  <c r="B110" i="9"/>
  <c r="J110" i="9" s="1"/>
  <c r="B109" i="9"/>
  <c r="H109" i="9" s="1"/>
  <c r="B108" i="9"/>
  <c r="B107" i="9"/>
  <c r="B106" i="9"/>
  <c r="F106" i="9" s="1"/>
  <c r="B105" i="9"/>
  <c r="J105" i="9" s="1"/>
  <c r="B104" i="9"/>
  <c r="J104" i="9" s="1"/>
  <c r="B103" i="9"/>
  <c r="B102" i="9"/>
  <c r="H102" i="9" s="1"/>
  <c r="B101" i="9"/>
  <c r="H101" i="9" s="1"/>
  <c r="B100" i="9"/>
  <c r="B99" i="9"/>
  <c r="B98" i="9"/>
  <c r="F98" i="9" s="1"/>
  <c r="B97" i="9"/>
  <c r="J97" i="9" s="1"/>
  <c r="B96" i="9"/>
  <c r="B95" i="9"/>
  <c r="B94" i="9"/>
  <c r="H94" i="9" s="1"/>
  <c r="B93" i="9"/>
  <c r="H93" i="9" s="1"/>
  <c r="B92" i="9"/>
  <c r="H92" i="9" s="1"/>
  <c r="B91" i="9"/>
  <c r="J91" i="9" s="1"/>
  <c r="B90" i="9"/>
  <c r="B89" i="9"/>
  <c r="B88" i="9"/>
  <c r="J88" i="9" s="1"/>
  <c r="B87" i="9"/>
  <c r="J87" i="9" s="1"/>
  <c r="B86" i="9"/>
  <c r="B85" i="9"/>
  <c r="F85" i="9" s="1"/>
  <c r="A30" i="9"/>
  <c r="A29" i="9"/>
  <c r="A26" i="9"/>
  <c r="H15" i="9"/>
  <c r="F14" i="9"/>
  <c r="F11" i="9"/>
  <c r="J19" i="9" l="1"/>
  <c r="J92" i="9"/>
  <c r="J254" i="9"/>
  <c r="H373" i="9"/>
  <c r="J326" i="9"/>
  <c r="H405" i="9"/>
  <c r="J338" i="9"/>
  <c r="J94" i="9"/>
  <c r="H389" i="9"/>
  <c r="F254" i="9"/>
  <c r="F326" i="9"/>
  <c r="F342" i="9"/>
  <c r="N271" i="9"/>
  <c r="N292" i="9"/>
  <c r="H295" i="9"/>
  <c r="H365" i="9"/>
  <c r="H397" i="9"/>
  <c r="J438" i="9"/>
  <c r="F94" i="9"/>
  <c r="N186" i="9"/>
  <c r="J231" i="9"/>
  <c r="N259" i="9"/>
  <c r="N275" i="9"/>
  <c r="J299" i="9"/>
  <c r="H318" i="9"/>
  <c r="J334" i="9"/>
  <c r="J365" i="9"/>
  <c r="H401" i="9"/>
  <c r="J138" i="9"/>
  <c r="J268" i="9"/>
  <c r="J271" i="9"/>
  <c r="H300" i="9"/>
  <c r="J302" i="9"/>
  <c r="J380" i="9"/>
  <c r="H383" i="9"/>
  <c r="H393" i="9"/>
  <c r="H409" i="9"/>
  <c r="H455" i="9"/>
  <c r="J133" i="9"/>
  <c r="H106" i="9"/>
  <c r="H121" i="9"/>
  <c r="H150" i="9"/>
  <c r="J199" i="9"/>
  <c r="F231" i="9"/>
  <c r="F250" i="9"/>
  <c r="J260" i="9"/>
  <c r="J263" i="9"/>
  <c r="N267" i="9"/>
  <c r="J276" i="9"/>
  <c r="J314" i="9"/>
  <c r="N414" i="9"/>
  <c r="J416" i="9"/>
  <c r="H199" i="9"/>
  <c r="J227" i="9"/>
  <c r="F15" i="9"/>
  <c r="F102" i="9"/>
  <c r="J106" i="9"/>
  <c r="N119" i="9"/>
  <c r="F138" i="9"/>
  <c r="H193" i="9"/>
  <c r="N233" i="9"/>
  <c r="H250" i="9"/>
  <c r="J259" i="9"/>
  <c r="N263" i="9"/>
  <c r="J272" i="9"/>
  <c r="J275" i="9"/>
  <c r="H334" i="9"/>
  <c r="J342" i="9"/>
  <c r="F373" i="9"/>
  <c r="N374" i="9"/>
  <c r="F380" i="9"/>
  <c r="J391" i="9"/>
  <c r="J399" i="9"/>
  <c r="J407" i="9"/>
  <c r="F440" i="9"/>
  <c r="J114" i="9"/>
  <c r="H130" i="9"/>
  <c r="F150" i="9"/>
  <c r="J264" i="9"/>
  <c r="J267" i="9"/>
  <c r="N297" i="9"/>
  <c r="F314" i="9"/>
  <c r="H387" i="9"/>
  <c r="J395" i="9"/>
  <c r="J403" i="9"/>
  <c r="F416" i="9"/>
  <c r="J424" i="9"/>
  <c r="J427" i="9"/>
  <c r="H433" i="9"/>
  <c r="H447" i="9"/>
  <c r="F118" i="9"/>
  <c r="H202" i="9"/>
  <c r="J218" i="9"/>
  <c r="H218" i="9"/>
  <c r="N228" i="9"/>
  <c r="H239" i="9"/>
  <c r="J258" i="9"/>
  <c r="J262" i="9"/>
  <c r="J266" i="9"/>
  <c r="J270" i="9"/>
  <c r="J274" i="9"/>
  <c r="N281" i="9"/>
  <c r="N289" i="9"/>
  <c r="J289" i="9"/>
  <c r="H291" i="9"/>
  <c r="H308" i="9"/>
  <c r="J310" i="9"/>
  <c r="H349" i="9"/>
  <c r="F349" i="9"/>
  <c r="N390" i="9"/>
  <c r="H390" i="9"/>
  <c r="H129" i="9"/>
  <c r="H142" i="9"/>
  <c r="H98" i="9"/>
  <c r="J118" i="9"/>
  <c r="H122" i="9"/>
  <c r="J142" i="9"/>
  <c r="H153" i="9"/>
  <c r="J203" i="9"/>
  <c r="H203" i="9"/>
  <c r="N224" i="9"/>
  <c r="H243" i="9"/>
  <c r="J243" i="9"/>
  <c r="N258" i="9"/>
  <c r="H261" i="9"/>
  <c r="N262" i="9"/>
  <c r="H269" i="9"/>
  <c r="H273" i="9"/>
  <c r="N274" i="9"/>
  <c r="J286" i="9"/>
  <c r="N294" i="9"/>
  <c r="J294" i="9"/>
  <c r="F307" i="9"/>
  <c r="H322" i="9"/>
  <c r="F322" i="9"/>
  <c r="N388" i="9"/>
  <c r="J388" i="9"/>
  <c r="H110" i="9"/>
  <c r="F110" i="9"/>
  <c r="H330" i="9"/>
  <c r="J330" i="9"/>
  <c r="N392" i="9"/>
  <c r="J392" i="9"/>
  <c r="N400" i="9"/>
  <c r="J400" i="9"/>
  <c r="N408" i="9"/>
  <c r="J408" i="9"/>
  <c r="H88" i="9"/>
  <c r="J89" i="9"/>
  <c r="H89" i="9"/>
  <c r="H146" i="9"/>
  <c r="J146" i="9"/>
  <c r="F185" i="9"/>
  <c r="F228" i="9"/>
  <c r="J234" i="9"/>
  <c r="J239" i="9"/>
  <c r="H265" i="9"/>
  <c r="N266" i="9"/>
  <c r="N270" i="9"/>
  <c r="H277" i="9"/>
  <c r="H284" i="9"/>
  <c r="J291" i="9"/>
  <c r="J349" i="9"/>
  <c r="H357" i="9"/>
  <c r="J357" i="9"/>
  <c r="J98" i="9"/>
  <c r="F114" i="9"/>
  <c r="J125" i="9"/>
  <c r="F146" i="9"/>
  <c r="N151" i="9"/>
  <c r="J185" i="9"/>
  <c r="H194" i="9"/>
  <c r="H219" i="9"/>
  <c r="H223" i="9"/>
  <c r="J223" i="9"/>
  <c r="F227" i="9"/>
  <c r="F243" i="9"/>
  <c r="H260" i="9"/>
  <c r="N261" i="9"/>
  <c r="H264" i="9"/>
  <c r="N265" i="9"/>
  <c r="H268" i="9"/>
  <c r="N269" i="9"/>
  <c r="H272" i="9"/>
  <c r="N273" i="9"/>
  <c r="H276" i="9"/>
  <c r="N277" i="9"/>
  <c r="H283" i="9"/>
  <c r="F283" i="9"/>
  <c r="F299" i="9"/>
  <c r="J305" i="9"/>
  <c r="H307" i="9"/>
  <c r="F318" i="9"/>
  <c r="J322" i="9"/>
  <c r="F338" i="9"/>
  <c r="F357" i="9"/>
  <c r="N394" i="9"/>
  <c r="H394" i="9"/>
  <c r="N402" i="9"/>
  <c r="H402" i="9"/>
  <c r="H432" i="9"/>
  <c r="J432" i="9"/>
  <c r="F432" i="9"/>
  <c r="N398" i="9"/>
  <c r="H398" i="9"/>
  <c r="N406" i="9"/>
  <c r="H406" i="9"/>
  <c r="H361" i="9"/>
  <c r="N396" i="9"/>
  <c r="J396" i="9"/>
  <c r="N404" i="9"/>
  <c r="J404" i="9"/>
  <c r="J463" i="9"/>
  <c r="H463" i="9"/>
  <c r="H417" i="9"/>
  <c r="J422" i="9"/>
  <c r="H428" i="9"/>
  <c r="H471" i="9"/>
  <c r="H96" i="9"/>
  <c r="F145" i="9"/>
  <c r="F184" i="9"/>
  <c r="F282" i="9"/>
  <c r="N287" i="9"/>
  <c r="J288" i="9"/>
  <c r="H293" i="9"/>
  <c r="J304" i="9"/>
  <c r="H309" i="9"/>
  <c r="N353" i="9"/>
  <c r="N369" i="9"/>
  <c r="N384" i="9"/>
  <c r="F415" i="9"/>
  <c r="N420" i="9"/>
  <c r="J421" i="9"/>
  <c r="F431" i="9"/>
  <c r="H442" i="9"/>
  <c r="F446" i="9"/>
  <c r="H449" i="9"/>
  <c r="N451" i="9"/>
  <c r="J452" i="9"/>
  <c r="F454" i="9"/>
  <c r="N459" i="9"/>
  <c r="F462" i="9"/>
  <c r="H473" i="9"/>
  <c r="N126" i="9"/>
  <c r="N134" i="9"/>
  <c r="F137" i="9"/>
  <c r="H140" i="9"/>
  <c r="H148" i="9"/>
  <c r="F222" i="9"/>
  <c r="N235" i="9"/>
  <c r="H248" i="9"/>
  <c r="F253" i="9"/>
  <c r="F298" i="9"/>
  <c r="N303" i="9"/>
  <c r="F376" i="9"/>
  <c r="H426" i="9"/>
  <c r="N436" i="9"/>
  <c r="J437" i="9"/>
  <c r="H457" i="9"/>
  <c r="J460" i="9"/>
  <c r="H465" i="9"/>
  <c r="N467" i="9"/>
  <c r="J468" i="9"/>
  <c r="F470" i="9"/>
  <c r="N475" i="9"/>
  <c r="H87" i="9"/>
  <c r="F92" i="9"/>
  <c r="J96" i="9"/>
  <c r="N98" i="9"/>
  <c r="N106" i="9"/>
  <c r="N114" i="9"/>
  <c r="N115" i="9"/>
  <c r="H120" i="9"/>
  <c r="F125" i="9"/>
  <c r="F126" i="9"/>
  <c r="H128" i="9"/>
  <c r="F133" i="9"/>
  <c r="F134" i="9"/>
  <c r="N135" i="9"/>
  <c r="H137" i="9"/>
  <c r="J140" i="9"/>
  <c r="N142" i="9"/>
  <c r="H145" i="9"/>
  <c r="J148" i="9"/>
  <c r="N150" i="9"/>
  <c r="F153" i="9"/>
  <c r="F154" i="9"/>
  <c r="H156" i="9"/>
  <c r="N182" i="9"/>
  <c r="H184" i="9"/>
  <c r="H187" i="9"/>
  <c r="N199" i="9"/>
  <c r="J217" i="9"/>
  <c r="H222" i="9"/>
  <c r="N227" i="9"/>
  <c r="N229" i="9"/>
  <c r="N231" i="9"/>
  <c r="F234" i="9"/>
  <c r="F235" i="9"/>
  <c r="N239" i="9"/>
  <c r="J248" i="9"/>
  <c r="N250" i="9"/>
  <c r="H253" i="9"/>
  <c r="H258" i="9"/>
  <c r="F259" i="9"/>
  <c r="N260" i="9"/>
  <c r="J261" i="9"/>
  <c r="H262" i="9"/>
  <c r="F263" i="9"/>
  <c r="N264" i="9"/>
  <c r="J265" i="9"/>
  <c r="H266" i="9"/>
  <c r="F267" i="9"/>
  <c r="N268" i="9"/>
  <c r="J269" i="9"/>
  <c r="H270" i="9"/>
  <c r="F271" i="9"/>
  <c r="N272" i="9"/>
  <c r="J273" i="9"/>
  <c r="H274" i="9"/>
  <c r="F275" i="9"/>
  <c r="N276" i="9"/>
  <c r="J277" i="9"/>
  <c r="H281" i="9"/>
  <c r="J282" i="9"/>
  <c r="F286" i="9"/>
  <c r="F287" i="9"/>
  <c r="H288" i="9"/>
  <c r="N291" i="9"/>
  <c r="J292" i="9"/>
  <c r="J293" i="9"/>
  <c r="H297" i="9"/>
  <c r="J298" i="9"/>
  <c r="F302" i="9"/>
  <c r="F303" i="9"/>
  <c r="H304" i="9"/>
  <c r="N307" i="9"/>
  <c r="J308" i="9"/>
  <c r="J309" i="9"/>
  <c r="H316" i="9"/>
  <c r="N318" i="9"/>
  <c r="J319" i="9"/>
  <c r="F321" i="9"/>
  <c r="H324" i="9"/>
  <c r="N326" i="9"/>
  <c r="J327" i="9"/>
  <c r="F329" i="9"/>
  <c r="H332" i="9"/>
  <c r="N334" i="9"/>
  <c r="J335" i="9"/>
  <c r="F337" i="9"/>
  <c r="H340" i="9"/>
  <c r="N342" i="9"/>
  <c r="J343" i="9"/>
  <c r="N349" i="9"/>
  <c r="F353" i="9"/>
  <c r="N365" i="9"/>
  <c r="F369" i="9"/>
  <c r="N373" i="9"/>
  <c r="H376" i="9"/>
  <c r="F383" i="9"/>
  <c r="F384" i="9"/>
  <c r="H386" i="9"/>
  <c r="H414" i="9"/>
  <c r="J415" i="9"/>
  <c r="F419" i="9"/>
  <c r="F420" i="9"/>
  <c r="H421" i="9"/>
  <c r="N424" i="9"/>
  <c r="J425" i="9"/>
  <c r="J426" i="9"/>
  <c r="H430" i="9"/>
  <c r="J431" i="9"/>
  <c r="F435" i="9"/>
  <c r="F436" i="9"/>
  <c r="H437" i="9"/>
  <c r="N440" i="9"/>
  <c r="J441" i="9"/>
  <c r="J442" i="9"/>
  <c r="N446" i="9"/>
  <c r="N449" i="9"/>
  <c r="F451" i="9"/>
  <c r="N452" i="9"/>
  <c r="N454" i="9"/>
  <c r="N457" i="9"/>
  <c r="F459" i="9"/>
  <c r="N460" i="9"/>
  <c r="N462" i="9"/>
  <c r="N465" i="9"/>
  <c r="F467" i="9"/>
  <c r="N468" i="9"/>
  <c r="N470" i="9"/>
  <c r="N473" i="9"/>
  <c r="F475" i="9"/>
  <c r="N85" i="9"/>
  <c r="F101" i="9"/>
  <c r="H104" i="9"/>
  <c r="F109" i="9"/>
  <c r="H112" i="9"/>
  <c r="F117" i="9"/>
  <c r="F242" i="9"/>
  <c r="H256" i="9"/>
  <c r="H85" i="9"/>
  <c r="N89" i="9"/>
  <c r="H100" i="9"/>
  <c r="H116" i="9"/>
  <c r="J117" i="9"/>
  <c r="N130" i="9"/>
  <c r="H144" i="9"/>
  <c r="J145" i="9"/>
  <c r="F149" i="9"/>
  <c r="J184" i="9"/>
  <c r="N194" i="9"/>
  <c r="N203" i="9"/>
  <c r="N219" i="9"/>
  <c r="H241" i="9"/>
  <c r="J242" i="9"/>
  <c r="H252" i="9"/>
  <c r="J253" i="9"/>
  <c r="F257" i="9"/>
  <c r="N282" i="9"/>
  <c r="H285" i="9"/>
  <c r="H287" i="9"/>
  <c r="N288" i="9"/>
  <c r="F290" i="9"/>
  <c r="N293" i="9"/>
  <c r="N295" i="9"/>
  <c r="J296" i="9"/>
  <c r="N298" i="9"/>
  <c r="H301" i="9"/>
  <c r="H303" i="9"/>
  <c r="N304" i="9"/>
  <c r="F306" i="9"/>
  <c r="N309" i="9"/>
  <c r="H353" i="9"/>
  <c r="N361" i="9"/>
  <c r="H369" i="9"/>
  <c r="F372" i="9"/>
  <c r="J376" i="9"/>
  <c r="H384" i="9"/>
  <c r="F388" i="9"/>
  <c r="N389" i="9"/>
  <c r="J390" i="9"/>
  <c r="H391" i="9"/>
  <c r="F392" i="9"/>
  <c r="N393" i="9"/>
  <c r="J394" i="9"/>
  <c r="H395" i="9"/>
  <c r="F396" i="9"/>
  <c r="N397" i="9"/>
  <c r="J398" i="9"/>
  <c r="H399" i="9"/>
  <c r="F400" i="9"/>
  <c r="N401" i="9"/>
  <c r="J402" i="9"/>
  <c r="H403" i="9"/>
  <c r="F404" i="9"/>
  <c r="N405" i="9"/>
  <c r="J406" i="9"/>
  <c r="H407" i="9"/>
  <c r="F408" i="9"/>
  <c r="N409" i="9"/>
  <c r="J413" i="9"/>
  <c r="N415" i="9"/>
  <c r="H418" i="9"/>
  <c r="H420" i="9"/>
  <c r="N421" i="9"/>
  <c r="F423" i="9"/>
  <c r="N426" i="9"/>
  <c r="N428" i="9"/>
  <c r="J429" i="9"/>
  <c r="N431" i="9"/>
  <c r="H434" i="9"/>
  <c r="H436" i="9"/>
  <c r="N437" i="9"/>
  <c r="F439" i="9"/>
  <c r="N442" i="9"/>
  <c r="N447" i="9"/>
  <c r="J448" i="9"/>
  <c r="F450" i="9"/>
  <c r="H451" i="9"/>
  <c r="H453" i="9"/>
  <c r="N455" i="9"/>
  <c r="J456" i="9"/>
  <c r="F458" i="9"/>
  <c r="H459" i="9"/>
  <c r="H461" i="9"/>
  <c r="N463" i="9"/>
  <c r="J464" i="9"/>
  <c r="F466" i="9"/>
  <c r="H467" i="9"/>
  <c r="H469" i="9"/>
  <c r="N471" i="9"/>
  <c r="J472" i="9"/>
  <c r="F474" i="9"/>
  <c r="H475" i="9"/>
  <c r="F93" i="9"/>
  <c r="N154" i="9"/>
  <c r="N90" i="9"/>
  <c r="J93" i="9"/>
  <c r="F97" i="9"/>
  <c r="J101" i="9"/>
  <c r="F105" i="9"/>
  <c r="H108" i="9"/>
  <c r="J109" i="9"/>
  <c r="F113" i="9"/>
  <c r="N122" i="9"/>
  <c r="H126" i="9"/>
  <c r="N131" i="9"/>
  <c r="H134" i="9"/>
  <c r="H136" i="9"/>
  <c r="J137" i="9"/>
  <c r="F141" i="9"/>
  <c r="H183" i="9"/>
  <c r="N217" i="9"/>
  <c r="J222" i="9"/>
  <c r="F226" i="9"/>
  <c r="F230" i="9"/>
  <c r="H235" i="9"/>
  <c r="F238" i="9"/>
  <c r="F249" i="9"/>
  <c r="J85" i="9"/>
  <c r="F88" i="9"/>
  <c r="F89" i="9"/>
  <c r="H91" i="9"/>
  <c r="N94" i="9"/>
  <c r="H97" i="9"/>
  <c r="J100" i="9"/>
  <c r="N102" i="9"/>
  <c r="N103" i="9"/>
  <c r="H105" i="9"/>
  <c r="J108" i="9"/>
  <c r="N110" i="9"/>
  <c r="H113" i="9"/>
  <c r="J116" i="9"/>
  <c r="N118" i="9"/>
  <c r="F121" i="9"/>
  <c r="F122" i="9"/>
  <c r="H124" i="9"/>
  <c r="J126" i="9"/>
  <c r="F129" i="9"/>
  <c r="F130" i="9"/>
  <c r="H132" i="9"/>
  <c r="J134" i="9"/>
  <c r="J136" i="9"/>
  <c r="N138" i="9"/>
  <c r="H141" i="9"/>
  <c r="J144" i="9"/>
  <c r="N146" i="9"/>
  <c r="H149" i="9"/>
  <c r="H152" i="9"/>
  <c r="J154" i="9"/>
  <c r="J183" i="9"/>
  <c r="N185" i="9"/>
  <c r="F193" i="9"/>
  <c r="F194" i="9"/>
  <c r="F202" i="9"/>
  <c r="F203" i="9"/>
  <c r="N204" i="9"/>
  <c r="F218" i="9"/>
  <c r="F219" i="9"/>
  <c r="N223" i="9"/>
  <c r="H226" i="9"/>
  <c r="H230" i="9"/>
  <c r="J233" i="9"/>
  <c r="J235" i="9"/>
  <c r="H238" i="9"/>
  <c r="J241" i="9"/>
  <c r="N243" i="9"/>
  <c r="H249" i="9"/>
  <c r="J252" i="9"/>
  <c r="N254" i="9"/>
  <c r="H257" i="9"/>
  <c r="N283" i="9"/>
  <c r="J284" i="9"/>
  <c r="J285" i="9"/>
  <c r="J287" i="9"/>
  <c r="H289" i="9"/>
  <c r="J290" i="9"/>
  <c r="F294" i="9"/>
  <c r="F295" i="9"/>
  <c r="H296" i="9"/>
  <c r="N299" i="9"/>
  <c r="J300" i="9"/>
  <c r="J301" i="9"/>
  <c r="J303" i="9"/>
  <c r="H305" i="9"/>
  <c r="J306" i="9"/>
  <c r="F310" i="9"/>
  <c r="N314" i="9"/>
  <c r="J315" i="9"/>
  <c r="F317" i="9"/>
  <c r="H320" i="9"/>
  <c r="N322" i="9"/>
  <c r="J323" i="9"/>
  <c r="F325" i="9"/>
  <c r="H328" i="9"/>
  <c r="N330" i="9"/>
  <c r="J331" i="9"/>
  <c r="F333" i="9"/>
  <c r="H336" i="9"/>
  <c r="N338" i="9"/>
  <c r="J339" i="9"/>
  <c r="F341" i="9"/>
  <c r="J353" i="9"/>
  <c r="N357" i="9"/>
  <c r="F361" i="9"/>
  <c r="J369" i="9"/>
  <c r="H372" i="9"/>
  <c r="N380" i="9"/>
  <c r="J384" i="9"/>
  <c r="F387" i="9"/>
  <c r="H388" i="9"/>
  <c r="F389" i="9"/>
  <c r="F390" i="9"/>
  <c r="F391" i="9"/>
  <c r="H392" i="9"/>
  <c r="F393" i="9"/>
  <c r="F394" i="9"/>
  <c r="F395" i="9"/>
  <c r="H396" i="9"/>
  <c r="F397" i="9"/>
  <c r="F398" i="9"/>
  <c r="F399" i="9"/>
  <c r="H400" i="9"/>
  <c r="F401" i="9"/>
  <c r="F402" i="9"/>
  <c r="F403" i="9"/>
  <c r="H404" i="9"/>
  <c r="F405" i="9"/>
  <c r="F406" i="9"/>
  <c r="F407" i="9"/>
  <c r="H408" i="9"/>
  <c r="F409" i="9"/>
  <c r="H413" i="9"/>
  <c r="N416" i="9"/>
  <c r="J417" i="9"/>
  <c r="J418" i="9"/>
  <c r="N419" i="9"/>
  <c r="J420" i="9"/>
  <c r="H422" i="9"/>
  <c r="J423" i="9"/>
  <c r="H424" i="9"/>
  <c r="N425" i="9"/>
  <c r="F427" i="9"/>
  <c r="F428" i="9"/>
  <c r="H429" i="9"/>
  <c r="N430" i="9"/>
  <c r="N432" i="9"/>
  <c r="J433" i="9"/>
  <c r="J434" i="9"/>
  <c r="N435" i="9"/>
  <c r="J436" i="9"/>
  <c r="H438" i="9"/>
  <c r="J439" i="9"/>
  <c r="H440" i="9"/>
  <c r="N441" i="9"/>
  <c r="F447" i="9"/>
  <c r="N448" i="9"/>
  <c r="N450" i="9"/>
  <c r="J451" i="9"/>
  <c r="N453" i="9"/>
  <c r="F455" i="9"/>
  <c r="N456" i="9"/>
  <c r="N458" i="9"/>
  <c r="J459" i="9"/>
  <c r="N461" i="9"/>
  <c r="F463" i="9"/>
  <c r="N464" i="9"/>
  <c r="N466" i="9"/>
  <c r="J467" i="9"/>
  <c r="N469" i="9"/>
  <c r="F471" i="9"/>
  <c r="N472" i="9"/>
  <c r="N474" i="9"/>
  <c r="J475" i="9"/>
  <c r="I14" i="9"/>
  <c r="H14" i="9"/>
  <c r="H16" i="9"/>
  <c r="I11" i="9"/>
  <c r="H11" i="9"/>
  <c r="J147" i="9"/>
  <c r="H147" i="9"/>
  <c r="F147" i="9"/>
  <c r="H382" i="9"/>
  <c r="F382" i="9"/>
  <c r="N382" i="9"/>
  <c r="J382" i="9"/>
  <c r="J86" i="9"/>
  <c r="H86" i="9"/>
  <c r="F86" i="9"/>
  <c r="J99" i="9"/>
  <c r="H99" i="9"/>
  <c r="F99" i="9"/>
  <c r="J111" i="9"/>
  <c r="H111" i="9"/>
  <c r="F111" i="9"/>
  <c r="J127" i="9"/>
  <c r="H127" i="9"/>
  <c r="F127" i="9"/>
  <c r="J143" i="9"/>
  <c r="H143" i="9"/>
  <c r="F143" i="9"/>
  <c r="N147" i="9"/>
  <c r="J200" i="9"/>
  <c r="N200" i="9"/>
  <c r="H200" i="9"/>
  <c r="F200" i="9"/>
  <c r="J232" i="9"/>
  <c r="H232" i="9"/>
  <c r="N232" i="9"/>
  <c r="F232" i="9"/>
  <c r="H237" i="9"/>
  <c r="F237" i="9"/>
  <c r="N237" i="9"/>
  <c r="J237" i="9"/>
  <c r="J350" i="9"/>
  <c r="N350" i="9"/>
  <c r="H350" i="9"/>
  <c r="F350" i="9"/>
  <c r="H355" i="9"/>
  <c r="N355" i="9"/>
  <c r="J355" i="9"/>
  <c r="F355" i="9"/>
  <c r="F360" i="9"/>
  <c r="N360" i="9"/>
  <c r="J360" i="9"/>
  <c r="H360" i="9"/>
  <c r="J366" i="9"/>
  <c r="N366" i="9"/>
  <c r="H366" i="9"/>
  <c r="F366" i="9"/>
  <c r="H371" i="9"/>
  <c r="F371" i="9"/>
  <c r="N371" i="9"/>
  <c r="J371" i="9"/>
  <c r="J115" i="9"/>
  <c r="H115" i="9"/>
  <c r="F115" i="9"/>
  <c r="I15" i="9"/>
  <c r="N86" i="9"/>
  <c r="J95" i="9"/>
  <c r="H95" i="9"/>
  <c r="F95" i="9"/>
  <c r="N99" i="9"/>
  <c r="J107" i="9"/>
  <c r="H107" i="9"/>
  <c r="F107" i="9"/>
  <c r="N111" i="9"/>
  <c r="J123" i="9"/>
  <c r="H123" i="9"/>
  <c r="F123" i="9"/>
  <c r="N127" i="9"/>
  <c r="J139" i="9"/>
  <c r="H139" i="9"/>
  <c r="F139" i="9"/>
  <c r="N143" i="9"/>
  <c r="J155" i="9"/>
  <c r="H155" i="9"/>
  <c r="F155" i="9"/>
  <c r="J195" i="9"/>
  <c r="N195" i="9"/>
  <c r="H195" i="9"/>
  <c r="F195" i="9"/>
  <c r="H201" i="9"/>
  <c r="F201" i="9"/>
  <c r="N201" i="9"/>
  <c r="J201" i="9"/>
  <c r="J90" i="9"/>
  <c r="H90" i="9"/>
  <c r="F90" i="9"/>
  <c r="J131" i="9"/>
  <c r="H131" i="9"/>
  <c r="F131" i="9"/>
  <c r="J182" i="9"/>
  <c r="H182" i="9"/>
  <c r="F182" i="9"/>
  <c r="F197" i="9"/>
  <c r="N197" i="9"/>
  <c r="J197" i="9"/>
  <c r="H197" i="9"/>
  <c r="N95" i="9"/>
  <c r="J103" i="9"/>
  <c r="H103" i="9"/>
  <c r="F103" i="9"/>
  <c r="N107" i="9"/>
  <c r="J119" i="9"/>
  <c r="H119" i="9"/>
  <c r="F119" i="9"/>
  <c r="N123" i="9"/>
  <c r="J135" i="9"/>
  <c r="H135" i="9"/>
  <c r="F135" i="9"/>
  <c r="N139" i="9"/>
  <c r="J151" i="9"/>
  <c r="H151" i="9"/>
  <c r="F151" i="9"/>
  <c r="N155" i="9"/>
  <c r="J186" i="9"/>
  <c r="H186" i="9"/>
  <c r="F186" i="9"/>
  <c r="H196" i="9"/>
  <c r="N196" i="9"/>
  <c r="J196" i="9"/>
  <c r="F196" i="9"/>
  <c r="J216" i="9"/>
  <c r="H216" i="9"/>
  <c r="N216" i="9"/>
  <c r="F216" i="9"/>
  <c r="H221" i="9"/>
  <c r="F221" i="9"/>
  <c r="N221" i="9"/>
  <c r="J221" i="9"/>
  <c r="J255" i="9"/>
  <c r="H255" i="9"/>
  <c r="F255" i="9"/>
  <c r="N255" i="9"/>
  <c r="N87" i="9"/>
  <c r="N91" i="9"/>
  <c r="N96" i="9"/>
  <c r="N100" i="9"/>
  <c r="N104" i="9"/>
  <c r="N108" i="9"/>
  <c r="N112" i="9"/>
  <c r="N116" i="9"/>
  <c r="N120" i="9"/>
  <c r="N124" i="9"/>
  <c r="N128" i="9"/>
  <c r="N132" i="9"/>
  <c r="N136" i="9"/>
  <c r="N140" i="9"/>
  <c r="N144" i="9"/>
  <c r="N148" i="9"/>
  <c r="N152" i="9"/>
  <c r="N156" i="9"/>
  <c r="N183" i="9"/>
  <c r="N187" i="9"/>
  <c r="H205" i="9"/>
  <c r="F205" i="9"/>
  <c r="J220" i="9"/>
  <c r="H220" i="9"/>
  <c r="H225" i="9"/>
  <c r="F225" i="9"/>
  <c r="J236" i="9"/>
  <c r="H236" i="9"/>
  <c r="J244" i="9"/>
  <c r="H244" i="9"/>
  <c r="F244" i="9"/>
  <c r="J251" i="9"/>
  <c r="H251" i="9"/>
  <c r="F251" i="9"/>
  <c r="H351" i="9"/>
  <c r="N351" i="9"/>
  <c r="J351" i="9"/>
  <c r="F351" i="9"/>
  <c r="F356" i="9"/>
  <c r="N356" i="9"/>
  <c r="J356" i="9"/>
  <c r="H356" i="9"/>
  <c r="J362" i="9"/>
  <c r="N362" i="9"/>
  <c r="H362" i="9"/>
  <c r="F362" i="9"/>
  <c r="H367" i="9"/>
  <c r="N367" i="9"/>
  <c r="J367" i="9"/>
  <c r="F367" i="9"/>
  <c r="F87" i="9"/>
  <c r="N88" i="9"/>
  <c r="F91" i="9"/>
  <c r="N93" i="9"/>
  <c r="F96" i="9"/>
  <c r="N97" i="9"/>
  <c r="F100" i="9"/>
  <c r="N101" i="9"/>
  <c r="J102" i="9"/>
  <c r="F104" i="9"/>
  <c r="N105" i="9"/>
  <c r="F108" i="9"/>
  <c r="N109" i="9"/>
  <c r="F112" i="9"/>
  <c r="N113" i="9"/>
  <c r="F116" i="9"/>
  <c r="N117" i="9"/>
  <c r="F120" i="9"/>
  <c r="N121" i="9"/>
  <c r="F124" i="9"/>
  <c r="N125" i="9"/>
  <c r="F128" i="9"/>
  <c r="N129" i="9"/>
  <c r="F132" i="9"/>
  <c r="N133" i="9"/>
  <c r="F136" i="9"/>
  <c r="N137" i="9"/>
  <c r="F140" i="9"/>
  <c r="N141" i="9"/>
  <c r="F144" i="9"/>
  <c r="N145" i="9"/>
  <c r="F148" i="9"/>
  <c r="N149" i="9"/>
  <c r="F152" i="9"/>
  <c r="N153" i="9"/>
  <c r="F156" i="9"/>
  <c r="F183" i="9"/>
  <c r="N184" i="9"/>
  <c r="F187" i="9"/>
  <c r="N193" i="9"/>
  <c r="J204" i="9"/>
  <c r="H204" i="9"/>
  <c r="J205" i="9"/>
  <c r="F220" i="9"/>
  <c r="J224" i="9"/>
  <c r="H224" i="9"/>
  <c r="J225" i="9"/>
  <c r="H229" i="9"/>
  <c r="F229" i="9"/>
  <c r="F236" i="9"/>
  <c r="J240" i="9"/>
  <c r="H240" i="9"/>
  <c r="F240" i="9"/>
  <c r="N244" i="9"/>
  <c r="N251" i="9"/>
  <c r="H347" i="9"/>
  <c r="N347" i="9"/>
  <c r="J347" i="9"/>
  <c r="F347" i="9"/>
  <c r="F352" i="9"/>
  <c r="N352" i="9"/>
  <c r="J352" i="9"/>
  <c r="H352" i="9"/>
  <c r="J358" i="9"/>
  <c r="N358" i="9"/>
  <c r="H358" i="9"/>
  <c r="F358" i="9"/>
  <c r="H363" i="9"/>
  <c r="N363" i="9"/>
  <c r="J363" i="9"/>
  <c r="F363" i="9"/>
  <c r="F368" i="9"/>
  <c r="N368" i="9"/>
  <c r="J368" i="9"/>
  <c r="H368" i="9"/>
  <c r="F204" i="9"/>
  <c r="N205" i="9"/>
  <c r="H217" i="9"/>
  <c r="F217" i="9"/>
  <c r="N220" i="9"/>
  <c r="F224" i="9"/>
  <c r="N225" i="9"/>
  <c r="J228" i="9"/>
  <c r="H228" i="9"/>
  <c r="J229" i="9"/>
  <c r="H233" i="9"/>
  <c r="F233" i="9"/>
  <c r="N236" i="9"/>
  <c r="N240" i="9"/>
  <c r="F348" i="9"/>
  <c r="N348" i="9"/>
  <c r="J348" i="9"/>
  <c r="H348" i="9"/>
  <c r="J354" i="9"/>
  <c r="N354" i="9"/>
  <c r="H354" i="9"/>
  <c r="F354" i="9"/>
  <c r="H359" i="9"/>
  <c r="N359" i="9"/>
  <c r="J359" i="9"/>
  <c r="F359" i="9"/>
  <c r="F364" i="9"/>
  <c r="N364" i="9"/>
  <c r="J364" i="9"/>
  <c r="H364" i="9"/>
  <c r="J370" i="9"/>
  <c r="N370" i="9"/>
  <c r="H370" i="9"/>
  <c r="F370" i="9"/>
  <c r="N241" i="9"/>
  <c r="N248" i="9"/>
  <c r="N252" i="9"/>
  <c r="N256" i="9"/>
  <c r="H375" i="9"/>
  <c r="F375" i="9"/>
  <c r="J381" i="9"/>
  <c r="H381" i="9"/>
  <c r="N202" i="9"/>
  <c r="N218" i="9"/>
  <c r="N222" i="9"/>
  <c r="N226" i="9"/>
  <c r="N230" i="9"/>
  <c r="N234" i="9"/>
  <c r="N238" i="9"/>
  <c r="F241" i="9"/>
  <c r="N242" i="9"/>
  <c r="F248" i="9"/>
  <c r="N249" i="9"/>
  <c r="F252" i="9"/>
  <c r="N253" i="9"/>
  <c r="F256" i="9"/>
  <c r="N257" i="9"/>
  <c r="F315" i="9"/>
  <c r="F316" i="9"/>
  <c r="H317" i="9"/>
  <c r="F319" i="9"/>
  <c r="F320" i="9"/>
  <c r="H321" i="9"/>
  <c r="F323" i="9"/>
  <c r="F324" i="9"/>
  <c r="H325" i="9"/>
  <c r="F327" i="9"/>
  <c r="F328" i="9"/>
  <c r="H329" i="9"/>
  <c r="F331" i="9"/>
  <c r="F332" i="9"/>
  <c r="H333" i="9"/>
  <c r="F335" i="9"/>
  <c r="F336" i="9"/>
  <c r="H337" i="9"/>
  <c r="F339" i="9"/>
  <c r="F340" i="9"/>
  <c r="H341" i="9"/>
  <c r="F343" i="9"/>
  <c r="J374" i="9"/>
  <c r="H374" i="9"/>
  <c r="J375" i="9"/>
  <c r="F381" i="9"/>
  <c r="J385" i="9"/>
  <c r="H385" i="9"/>
  <c r="F385" i="9"/>
  <c r="F281" i="9"/>
  <c r="H282" i="9"/>
  <c r="F284" i="9"/>
  <c r="F285" i="9"/>
  <c r="H286" i="9"/>
  <c r="F288" i="9"/>
  <c r="F289" i="9"/>
  <c r="H290" i="9"/>
  <c r="F292" i="9"/>
  <c r="F293" i="9"/>
  <c r="H294" i="9"/>
  <c r="F296" i="9"/>
  <c r="F297" i="9"/>
  <c r="H298" i="9"/>
  <c r="F300" i="9"/>
  <c r="F301" i="9"/>
  <c r="H302" i="9"/>
  <c r="F304" i="9"/>
  <c r="F305" i="9"/>
  <c r="H306" i="9"/>
  <c r="F308" i="9"/>
  <c r="F309" i="9"/>
  <c r="H310" i="9"/>
  <c r="H315" i="9"/>
  <c r="J316" i="9"/>
  <c r="J317" i="9"/>
  <c r="H319" i="9"/>
  <c r="J320" i="9"/>
  <c r="J321" i="9"/>
  <c r="H323" i="9"/>
  <c r="J324" i="9"/>
  <c r="J325" i="9"/>
  <c r="H327" i="9"/>
  <c r="J328" i="9"/>
  <c r="J329" i="9"/>
  <c r="H331" i="9"/>
  <c r="J332" i="9"/>
  <c r="J333" i="9"/>
  <c r="H335" i="9"/>
  <c r="J336" i="9"/>
  <c r="J337" i="9"/>
  <c r="H339" i="9"/>
  <c r="J340" i="9"/>
  <c r="J341" i="9"/>
  <c r="H343" i="9"/>
  <c r="F374" i="9"/>
  <c r="N375" i="9"/>
  <c r="N381" i="9"/>
  <c r="N385" i="9"/>
  <c r="N386" i="9"/>
  <c r="N372" i="9"/>
  <c r="N376" i="9"/>
  <c r="N383" i="9"/>
  <c r="F386" i="9"/>
  <c r="N387" i="9"/>
  <c r="H446" i="9"/>
  <c r="F448" i="9"/>
  <c r="F449" i="9"/>
  <c r="H450" i="9"/>
  <c r="F452" i="9"/>
  <c r="F453" i="9"/>
  <c r="H454" i="9"/>
  <c r="F456" i="9"/>
  <c r="F457" i="9"/>
  <c r="H458" i="9"/>
  <c r="F460" i="9"/>
  <c r="F461" i="9"/>
  <c r="H462" i="9"/>
  <c r="F464" i="9"/>
  <c r="F465" i="9"/>
  <c r="H466" i="9"/>
  <c r="F468" i="9"/>
  <c r="F469" i="9"/>
  <c r="H470" i="9"/>
  <c r="F472" i="9"/>
  <c r="F473" i="9"/>
  <c r="H474" i="9"/>
  <c r="F413" i="9"/>
  <c r="F414" i="9"/>
  <c r="H415" i="9"/>
  <c r="F417" i="9"/>
  <c r="F418" i="9"/>
  <c r="H419" i="9"/>
  <c r="F421" i="9"/>
  <c r="F422" i="9"/>
  <c r="H423" i="9"/>
  <c r="F425" i="9"/>
  <c r="F426" i="9"/>
  <c r="H427" i="9"/>
  <c r="F429" i="9"/>
  <c r="F430" i="9"/>
  <c r="H431" i="9"/>
  <c r="F433" i="9"/>
  <c r="F434" i="9"/>
  <c r="H435" i="9"/>
  <c r="F437" i="9"/>
  <c r="F438" i="9"/>
  <c r="H439" i="9"/>
  <c r="F441" i="9"/>
  <c r="F442" i="9"/>
  <c r="J446" i="9"/>
  <c r="H448" i="9"/>
  <c r="J449" i="9"/>
  <c r="J450" i="9"/>
  <c r="H452" i="9"/>
  <c r="J453" i="9"/>
  <c r="J454" i="9"/>
  <c r="H456" i="9"/>
  <c r="J457" i="9"/>
  <c r="J458" i="9"/>
  <c r="H460" i="9"/>
  <c r="J461" i="9"/>
  <c r="J462" i="9"/>
  <c r="H464" i="9"/>
  <c r="J465" i="9"/>
  <c r="J466" i="9"/>
  <c r="H468" i="9"/>
  <c r="J469" i="9"/>
  <c r="J470" i="9"/>
  <c r="H472" i="9"/>
  <c r="J473" i="9"/>
  <c r="J474" i="9"/>
  <c r="I16" i="9" l="1"/>
  <c r="N311" i="9"/>
  <c r="J410" i="9"/>
  <c r="J443" i="9"/>
  <c r="N344" i="9"/>
  <c r="J311" i="9"/>
  <c r="J278" i="9"/>
  <c r="H212" i="9"/>
  <c r="N443" i="9"/>
  <c r="N212" i="9"/>
  <c r="H443" i="9"/>
  <c r="J344" i="9"/>
  <c r="H311" i="9"/>
  <c r="H245" i="9"/>
  <c r="J212" i="9"/>
  <c r="F476" i="9"/>
  <c r="F212" i="9"/>
  <c r="H278" i="9"/>
  <c r="N476" i="9"/>
  <c r="F410" i="9"/>
  <c r="J245" i="9"/>
  <c r="N410" i="9"/>
  <c r="F245" i="9"/>
  <c r="F278" i="9"/>
  <c r="N377" i="9"/>
  <c r="N245" i="9"/>
  <c r="F443" i="9"/>
  <c r="N278" i="9"/>
  <c r="H377" i="9"/>
  <c r="F377" i="9"/>
  <c r="H344" i="9"/>
  <c r="J476" i="9"/>
  <c r="F344" i="9"/>
  <c r="H410" i="9"/>
  <c r="H476" i="9"/>
  <c r="F311" i="9"/>
  <c r="J377" i="9"/>
  <c r="F22" i="9" l="1"/>
  <c r="F16" i="9"/>
  <c r="H52" i="11" l="1"/>
  <c r="B6" i="9" s="1"/>
  <c r="E6" i="9" s="1"/>
  <c r="H6" i="9" s="1"/>
  <c r="G52" i="11"/>
  <c r="B13" i="1" l="1"/>
  <c r="F52" i="11"/>
  <c r="Q54" i="11" s="1"/>
  <c r="B38" i="9"/>
  <c r="B40" i="9"/>
  <c r="H40" i="9" s="1"/>
  <c r="B39" i="9"/>
  <c r="H39" i="9" s="1"/>
  <c r="B15" i="1" l="1"/>
  <c r="D38" i="9"/>
  <c r="F38" i="9" s="1"/>
  <c r="H38" i="9" s="1"/>
  <c r="B17" i="1" l="1"/>
  <c r="B24" i="1" s="1"/>
  <c r="B26" i="1" s="1"/>
  <c r="B3" i="8"/>
  <c r="B9" i="8" s="1"/>
  <c r="F42" i="8"/>
  <c r="E42" i="8"/>
  <c r="D42" i="8"/>
  <c r="F41" i="8"/>
  <c r="E41" i="8"/>
  <c r="D41" i="8"/>
  <c r="F40" i="8"/>
  <c r="E40" i="8"/>
  <c r="D40" i="8"/>
  <c r="F39" i="8"/>
  <c r="E39" i="8"/>
  <c r="D39" i="8"/>
  <c r="F38" i="8"/>
  <c r="E38" i="8"/>
  <c r="D38" i="8"/>
  <c r="J35" i="8"/>
  <c r="J34" i="8"/>
  <c r="J33" i="8"/>
  <c r="J32" i="8"/>
  <c r="J31" i="8"/>
  <c r="J30" i="8"/>
  <c r="J29" i="8"/>
  <c r="J28" i="8"/>
  <c r="J27" i="8"/>
  <c r="J26" i="8"/>
  <c r="J25" i="8"/>
  <c r="J24" i="8"/>
  <c r="J23" i="8"/>
  <c r="J22" i="8"/>
  <c r="J21" i="8"/>
  <c r="J20" i="8"/>
  <c r="J19" i="8"/>
  <c r="J18" i="8"/>
  <c r="J17" i="8"/>
  <c r="J16" i="8"/>
  <c r="J15" i="8"/>
  <c r="C12" i="8"/>
  <c r="B28" i="1" l="1"/>
  <c r="B27" i="1"/>
  <c r="B10" i="8"/>
  <c r="B7" i="8"/>
  <c r="B8" i="8"/>
  <c r="B4" i="8" l="1"/>
  <c r="B39" i="8" l="1"/>
  <c r="B42" i="8"/>
  <c r="C42" i="8"/>
  <c r="C38" i="8"/>
  <c r="B40" i="8"/>
  <c r="B38" i="8"/>
  <c r="C41" i="8"/>
  <c r="B6" i="8" s="1"/>
  <c r="C40" i="8"/>
  <c r="C39" i="8"/>
  <c r="B41" i="8"/>
  <c r="B6" i="7"/>
  <c r="B5" i="7"/>
  <c r="B4" i="7"/>
  <c r="D33" i="9" l="1"/>
  <c r="H33" i="9" s="1"/>
  <c r="H54" i="9" s="1"/>
  <c r="H22" i="9"/>
  <c r="H23" i="9" s="1"/>
  <c r="G22" i="9"/>
  <c r="I22" i="9"/>
  <c r="C44" i="6"/>
  <c r="C49" i="6" s="1"/>
  <c r="C50" i="6" s="1" a="1"/>
  <c r="C50" i="6" s="1"/>
  <c r="B5" i="8"/>
  <c r="C17" i="9" l="1"/>
  <c r="G17" i="9" s="1"/>
  <c r="C14" i="9"/>
  <c r="G14" i="9" s="1"/>
  <c r="C16" i="9"/>
  <c r="G16" i="9" s="1"/>
  <c r="C11" i="9"/>
  <c r="C18" i="9"/>
  <c r="G18" i="9" s="1"/>
  <c r="C12" i="9"/>
  <c r="G12" i="9" s="1"/>
  <c r="C15" i="9"/>
  <c r="G15" i="9" s="1"/>
  <c r="C13" i="9"/>
  <c r="G13" i="9" s="1"/>
  <c r="I23" i="9"/>
  <c r="H55" i="9"/>
  <c r="C42" i="6"/>
  <c r="E49" i="6"/>
  <c r="G11" i="9" l="1"/>
  <c r="G23" i="9" s="1"/>
  <c r="H53" i="9" s="1"/>
  <c r="C19" i="9"/>
  <c r="B23" i="9" s="1"/>
  <c r="H49" i="9"/>
  <c r="D44" i="9" l="1"/>
  <c r="E44" i="9" s="1"/>
  <c r="H62" i="9"/>
  <c r="A18" i="1"/>
  <c r="H57" i="9" l="1"/>
  <c r="H58" i="9" s="1"/>
  <c r="H63"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Wohlfarth, Angela (tfz)</author>
  </authors>
  <commentList>
    <comment ref="B12" authorId="0" shapeId="0" xr:uid="{6804E248-6E27-4FCD-AF34-42BF8D3266A5}">
      <text>
        <r>
          <rPr>
            <sz val="9"/>
            <color indexed="81"/>
            <rFont val="Segoe UI"/>
            <family val="2"/>
          </rPr>
          <t xml:space="preserve">m³: Normkubikmeter wasserfrei;
BG: Rohbiogasstrom vor der Aufbereitungsanlage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<sst xmlns="http://schemas.openxmlformats.org/spreadsheetml/2006/main" count="841" uniqueCount="380">
  <si>
    <t>unterer Heizwert Methan</t>
  </si>
  <si>
    <t>Referenzwert Benzin/Diesel RED II</t>
  </si>
  <si>
    <r>
      <t xml:space="preserve">Antragsteller/in; </t>
    </r>
    <r>
      <rPr>
        <b/>
        <sz val="8"/>
        <rFont val="Arial"/>
        <family val="2"/>
      </rPr>
      <t>Projektbezeichung</t>
    </r>
    <r>
      <rPr>
        <sz val="8"/>
        <rFont val="Arial"/>
        <family val="2"/>
      </rPr>
      <t xml:space="preserve"> (z. B. </t>
    </r>
    <r>
      <rPr>
        <b/>
        <sz val="8"/>
        <rFont val="Arial"/>
        <family val="2"/>
      </rPr>
      <t>Biogasaufbereitungsanlage XY</t>
    </r>
    <r>
      <rPr>
        <sz val="8"/>
        <rFont val="Arial"/>
        <family val="2"/>
      </rPr>
      <t xml:space="preserve"> oder </t>
    </r>
    <r>
      <rPr>
        <b/>
        <sz val="8"/>
        <rFont val="Arial"/>
        <family val="2"/>
      </rPr>
      <t>Umrüstung Biogasanlage zu Biogasaufbereitungsanlage XY</t>
    </r>
    <r>
      <rPr>
        <sz val="8"/>
        <rFont val="Arial"/>
        <family val="2"/>
      </rPr>
      <t>)</t>
    </r>
  </si>
  <si>
    <r>
      <t xml:space="preserve">Dieses Formular ist mit der EDV auszufüllen und </t>
    </r>
    <r>
      <rPr>
        <b/>
        <sz val="10"/>
        <rFont val="Arial"/>
        <family val="2"/>
      </rPr>
      <t>unterschrieben</t>
    </r>
    <r>
      <rPr>
        <sz val="10"/>
        <rFont val="Arial"/>
        <family val="2"/>
      </rPr>
      <t xml:space="preserve"> dem Förderantrag beizufügen.</t>
    </r>
  </si>
  <si>
    <t>Rohgasaufbereitungskapazität der beantragten Anlage</t>
  </si>
  <si>
    <t xml:space="preserve">Jahre Zweckbindungsfrist BioMeth Bayern: </t>
  </si>
  <si>
    <t>Volumenanteil Methan im Biogas in Prozent lt. Antragskonzept</t>
  </si>
  <si>
    <r>
      <t>Mindest CO</t>
    </r>
    <r>
      <rPr>
        <vertAlign val="subscript"/>
        <sz val="11"/>
        <color theme="1"/>
        <rFont val="Arial"/>
        <family val="2"/>
      </rPr>
      <t>2</t>
    </r>
    <r>
      <rPr>
        <sz val="11"/>
        <color theme="1"/>
        <rFont val="Arial"/>
        <family val="2"/>
      </rPr>
      <t>-Minderung Verkehr</t>
    </r>
  </si>
  <si>
    <r>
      <t>jährliche CO</t>
    </r>
    <r>
      <rPr>
        <b/>
        <vertAlign val="subscript"/>
        <sz val="11"/>
        <color theme="1"/>
        <rFont val="Arial"/>
        <family val="2"/>
      </rPr>
      <t>2</t>
    </r>
    <r>
      <rPr>
        <b/>
        <sz val="11"/>
        <color theme="1"/>
        <rFont val="Arial"/>
        <family val="2"/>
      </rPr>
      <t>-Minderung, mindestens</t>
    </r>
  </si>
  <si>
    <r>
      <t>prog. CO</t>
    </r>
    <r>
      <rPr>
        <b/>
        <vertAlign val="subscript"/>
        <sz val="11"/>
        <color theme="1"/>
        <rFont val="Arial"/>
        <family val="2"/>
      </rPr>
      <t>2</t>
    </r>
    <r>
      <rPr>
        <b/>
        <sz val="11"/>
        <color theme="1"/>
        <rFont val="Arial"/>
        <family val="2"/>
      </rPr>
      <t>-Minderung in 6 Jahren</t>
    </r>
  </si>
  <si>
    <t>Ausblenden</t>
  </si>
  <si>
    <r>
      <t>Beantragt wird</t>
    </r>
    <r>
      <rPr>
        <sz val="14"/>
        <rFont val="Arial"/>
        <family val="2"/>
      </rPr>
      <t>:</t>
    </r>
  </si>
  <si>
    <r>
      <t>Berechung CO</t>
    </r>
    <r>
      <rPr>
        <b/>
        <u/>
        <vertAlign val="subscript"/>
        <sz val="14"/>
        <color theme="1"/>
        <rFont val="Arial"/>
        <family val="2"/>
      </rPr>
      <t>2</t>
    </r>
    <r>
      <rPr>
        <b/>
        <u/>
        <sz val="14"/>
        <color theme="1"/>
        <rFont val="Arial"/>
        <family val="2"/>
      </rPr>
      <t>-Minderung</t>
    </r>
  </si>
  <si>
    <t>kalk. Vollbetriebsstunden/Jahr lt. Antragskonzept</t>
  </si>
  <si>
    <t>prog. Energiemenge/a erzeugtes Biomethan</t>
  </si>
  <si>
    <t>Ort, Datum</t>
  </si>
  <si>
    <t>Rechtsverbindliche Unterschrift Antragsteller/in</t>
  </si>
  <si>
    <t>TS</t>
  </si>
  <si>
    <t>oTS</t>
  </si>
  <si>
    <t>BG</t>
  </si>
  <si>
    <t>Methan</t>
  </si>
  <si>
    <t>Getreidestroh</t>
  </si>
  <si>
    <t>Maisstrohsilage</t>
  </si>
  <si>
    <t>Labor</t>
  </si>
  <si>
    <t>Richtwert</t>
  </si>
  <si>
    <t>Rindergülle</t>
  </si>
  <si>
    <t>Rindergülle sep.</t>
  </si>
  <si>
    <t>Rindermist</t>
  </si>
  <si>
    <t>Schweinegülle</t>
  </si>
  <si>
    <t>Schweinegülle sep.</t>
  </si>
  <si>
    <t>Pferdemist</t>
  </si>
  <si>
    <t>HTK</t>
  </si>
  <si>
    <t>Geflügelmist</t>
  </si>
  <si>
    <t>Glyzerin</t>
  </si>
  <si>
    <t>Substrat</t>
  </si>
  <si>
    <t>Gülle</t>
  </si>
  <si>
    <t>Stroh, Spreu von Getreide</t>
  </si>
  <si>
    <t>Schlämme aus Land-, Teich-, Forstwirtschaft, Gartenbau, Jagd und Fischerei</t>
  </si>
  <si>
    <t xml:space="preserve">Abfälle aus Land-, Teich-, Forstwirtschaft, Gartenbau, Jagd und Fischerei </t>
  </si>
  <si>
    <t>Trockenmist</t>
  </si>
  <si>
    <t>Forstwirtschaftliche Abfälle</t>
  </si>
  <si>
    <t>Schlämme aus Wasch- u. Reinigungsvorgängen</t>
  </si>
  <si>
    <t>Abwasserschlämme aus Zubereitung von Fleisch und Fisch</t>
  </si>
  <si>
    <t>Schlämme aus Wasch-, Reinigungs-, Schäl-, Zentrifugier u Abtrennprozessen</t>
  </si>
  <si>
    <t>Zum Verzehr ungeeignete Stoffe (Obst, Gemüse, Getreide)</t>
  </si>
  <si>
    <t>Abwasserschlämme aus Zubereitung und Verarbeitung von Obst, Gemüse und Getreide</t>
  </si>
  <si>
    <t>Pflanzl. Filtermaterialien aus Zubereitung von Obst, Gemüse und Getreide</t>
  </si>
  <si>
    <t>Abwasserschlämme aus Zuckerherstellung</t>
  </si>
  <si>
    <t>Abwasserschlämme aus Milchverarbeitung</t>
  </si>
  <si>
    <t>Pflanzl. Filtermaterialien aus Milchverarbeitung</t>
  </si>
  <si>
    <t xml:space="preserve">Abfälle aus Back- und Süßwherstlg </t>
  </si>
  <si>
    <t>Pflanzl. Filtermaterialien aus Herstellung von Back- und Süßwaren</t>
  </si>
  <si>
    <t>Abfälle aus Alkoholdestillation</t>
  </si>
  <si>
    <t>Abfälle aus Getränkeherstellung</t>
  </si>
  <si>
    <t>Abwasserschlämme aus Getränkeherstellung</t>
  </si>
  <si>
    <t>Pflanzl. Filtermaterialien aus Getränkeherstellung</t>
  </si>
  <si>
    <t>Rinden- und Holzabfälle</t>
  </si>
  <si>
    <t>Abfälle aus Holzbearbeitung</t>
  </si>
  <si>
    <t>Abfälle aus Zellstoff- und Papierherstellung</t>
  </si>
  <si>
    <t>Abfälle aus Textilindustrie</t>
  </si>
  <si>
    <t>Rohglycerin</t>
  </si>
  <si>
    <t>Abfälle aus Biodieselherstellung</t>
  </si>
  <si>
    <t>Trester von Heilpflanzen</t>
  </si>
  <si>
    <t>Klärschlamm</t>
  </si>
  <si>
    <t>Abfälle aus Abwasserbehandlung</t>
  </si>
  <si>
    <t>Bioabfall</t>
  </si>
  <si>
    <t>Küchen- und Kantinenabfälle</t>
  </si>
  <si>
    <t>Garten- und Parkabfälle</t>
  </si>
  <si>
    <t>Siedlungsabfall</t>
  </si>
  <si>
    <t>Abfälle aus Zuckerherstellung</t>
  </si>
  <si>
    <t>Abfälle aus Extraktion mit Lösemitteln</t>
  </si>
  <si>
    <t>Zwischenfrüchte</t>
  </si>
  <si>
    <t>Algen</t>
  </si>
  <si>
    <t>Mais (Stroh)</t>
  </si>
  <si>
    <t>Menge in t/a</t>
  </si>
  <si>
    <t>Dieses Formular ist mit der EDV auszufüllen, auszudrucken und unterschrieben dem Förderantrag beizufügen.</t>
  </si>
  <si>
    <t>AUSBLENDEN</t>
  </si>
  <si>
    <t>Technische Angaben</t>
  </si>
  <si>
    <t>%</t>
  </si>
  <si>
    <t>Kalkulatorischer Zinssatz Eigenkapital</t>
  </si>
  <si>
    <t>Zinssatz für eingesetzte Fremdmittel (Kredite)</t>
  </si>
  <si>
    <t>€</t>
  </si>
  <si>
    <t>€/a</t>
  </si>
  <si>
    <t xml:space="preserve">Ort, Datum </t>
  </si>
  <si>
    <r>
      <t>Kostenplan</t>
    </r>
    <r>
      <rPr>
        <sz val="14"/>
        <color theme="1"/>
        <rFont val="Arial"/>
        <family val="2"/>
      </rPr>
      <t xml:space="preserve"> (Investitionskosten </t>
    </r>
    <r>
      <rPr>
        <b/>
        <u/>
        <sz val="14"/>
        <color theme="1"/>
        <rFont val="Arial"/>
        <family val="2"/>
      </rPr>
      <t>netto</t>
    </r>
    <r>
      <rPr>
        <sz val="14"/>
        <color theme="1"/>
        <rFont val="Arial"/>
        <family val="2"/>
      </rPr>
      <t xml:space="preserve"> der Biogasaufbereitungsanlage)</t>
    </r>
  </si>
  <si>
    <r>
      <t>Biogasaufbereitungsanlage zur Herstellung von Biomethan</t>
    </r>
    <r>
      <rPr>
        <sz val="11"/>
        <color theme="1"/>
        <rFont val="Arial"/>
        <family val="2"/>
      </rPr>
      <t xml:space="preserve"> </t>
    </r>
  </si>
  <si>
    <t>Förderhöchstsumme, ausgeblendet</t>
  </si>
  <si>
    <t>Rohgasaufbereitungskapazität:</t>
  </si>
  <si>
    <t>Nm³BG/h</t>
  </si>
  <si>
    <t>Biogasspezifische Anlagenteile</t>
  </si>
  <si>
    <t>Aufbereitungsanlage</t>
  </si>
  <si>
    <t>Kosten "Biogasspezifische Anlagenteile"</t>
  </si>
  <si>
    <t>Planung</t>
  </si>
  <si>
    <t>Planungskosten 
(Biogasspezifische Anlagenteile, Bauliche Anlagen und Erschließung, max. 10 %)</t>
  </si>
  <si>
    <t>Nicht zuwendungsfähige Kosten</t>
  </si>
  <si>
    <t>Summe nicht zuwendungsfähige sonstige Kosten</t>
  </si>
  <si>
    <t>Ich beantrage folgenden Fördersatz</t>
  </si>
  <si>
    <t>(Bagatellgrenze: 50.000 €)</t>
  </si>
  <si>
    <t>Unterschrift, Stempel Ing.büro/Energieberater/sachkundiger Fachunternehmer</t>
  </si>
  <si>
    <t>Grundförderung</t>
  </si>
  <si>
    <t>Kumulierung</t>
  </si>
  <si>
    <t>Unternehmen</t>
  </si>
  <si>
    <t xml:space="preserve">Kumulierungsgrenze </t>
  </si>
  <si>
    <t>Förderobergrenze:</t>
  </si>
  <si>
    <t>Förderhöchstsumme</t>
  </si>
  <si>
    <t>GU</t>
  </si>
  <si>
    <t>MU</t>
  </si>
  <si>
    <t>KU</t>
  </si>
  <si>
    <t>Biogas/a</t>
  </si>
  <si>
    <t>Methan/a</t>
  </si>
  <si>
    <t>Aufbereitungsverfahren</t>
  </si>
  <si>
    <t>Druckwasserwäsche</t>
  </si>
  <si>
    <t>Aminwäsche</t>
  </si>
  <si>
    <t>Membranverfahren</t>
  </si>
  <si>
    <t>kryogenes Verfahren</t>
  </si>
  <si>
    <t>Rohgasaufbereitungskapazität</t>
  </si>
  <si>
    <t>Strombedarf Aufbereitung</t>
  </si>
  <si>
    <t>Wärmebedarf Aufbereitung</t>
  </si>
  <si>
    <t>kWh ⁄ Nm³BG</t>
  </si>
  <si>
    <t>Gasaufbereitungsanlagen nach KTBL Biogasrechner 16.05.2022</t>
  </si>
  <si>
    <t>Anlagentyp</t>
  </si>
  <si>
    <t>Anlagen Kapazität</t>
  </si>
  <si>
    <t>Spez. Kosten</t>
  </si>
  <si>
    <t>Instandhaltungssatz</t>
  </si>
  <si>
    <t>Strombedarf/m³Rohgas</t>
  </si>
  <si>
    <t>Methanverluste</t>
  </si>
  <si>
    <t>Methangehalt nach Aufreinigung</t>
  </si>
  <si>
    <t>Wärmebedarf</t>
  </si>
  <si>
    <t>Invest</t>
  </si>
  <si>
    <t>Biogaseinspeiseanlage</t>
  </si>
  <si>
    <t>Typ</t>
  </si>
  <si>
    <t>Kapazität</t>
  </si>
  <si>
    <t>Anteil an Invest für Instandhaltung %</t>
  </si>
  <si>
    <t>spez. Betriebskosten</t>
  </si>
  <si>
    <t>Strompreis KTBL</t>
  </si>
  <si>
    <t>Methanschlupf</t>
  </si>
  <si>
    <t>spez. Anschaffungskosten</t>
  </si>
  <si>
    <t>Nutzbare Wärme durch Wärmeauskopplung</t>
  </si>
  <si>
    <t>Methangehalt nach Aufbereitung</t>
  </si>
  <si>
    <t>Einheit</t>
  </si>
  <si>
    <t>m³/h</t>
  </si>
  <si>
    <t>€/m³Rohgas</t>
  </si>
  <si>
    <t>€/kWhRohgas</t>
  </si>
  <si>
    <r>
      <t>kWh ⁄ m</t>
    </r>
    <r>
      <rPr>
        <b/>
        <sz val="7.7"/>
        <color rgb="FF000000"/>
        <rFont val="Arial"/>
        <family val="2"/>
      </rPr>
      <t>n3</t>
    </r>
    <r>
      <rPr>
        <b/>
        <sz val="10"/>
        <color rgb="FF000000"/>
        <rFont val="Arial"/>
        <family val="2"/>
      </rPr>
      <t> Rohgas</t>
    </r>
  </si>
  <si>
    <t>€/(m³/h)</t>
  </si>
  <si>
    <t>Druckwechseladsorption</t>
  </si>
  <si>
    <t>Polyethylenglykolwäsche</t>
  </si>
  <si>
    <t>Liste</t>
  </si>
  <si>
    <t>Spez Kosten nach Regression</t>
  </si>
  <si>
    <t>Instandhaltunssatz nach Regression</t>
  </si>
  <si>
    <t xml:space="preserve">Strombedarf </t>
  </si>
  <si>
    <t>Methanverlust</t>
  </si>
  <si>
    <t xml:space="preserve">Methangehalt nach Aufreinigung </t>
  </si>
  <si>
    <t>Bezugspreis Rohbiogas</t>
  </si>
  <si>
    <t>Bezugsstrompreis</t>
  </si>
  <si>
    <t>Wärmebezugspreis</t>
  </si>
  <si>
    <t>Summe</t>
  </si>
  <si>
    <t>ja</t>
  </si>
  <si>
    <t xml:space="preserve">Rindermist </t>
  </si>
  <si>
    <t>Pferdemist/-äpfel</t>
  </si>
  <si>
    <t>Sorghum bicolor</t>
  </si>
  <si>
    <t>Maissilage27-36%</t>
  </si>
  <si>
    <t>Grassilage25-40%</t>
  </si>
  <si>
    <t>Getreide / Grünroggen</t>
  </si>
  <si>
    <t>Einnahmen</t>
  </si>
  <si>
    <t>Nutzungsdauer</t>
  </si>
  <si>
    <t>Zinss., kalk.</t>
  </si>
  <si>
    <t>Annuität Gl. (1)</t>
  </si>
  <si>
    <t>Kapitaldienst</t>
  </si>
  <si>
    <t>Abschreibung gem. Nutzungsd.</t>
  </si>
  <si>
    <t>Zinskosten</t>
  </si>
  <si>
    <t>nein</t>
  </si>
  <si>
    <t>Instandhaltungs- und betriebsgebundene Kosten</t>
  </si>
  <si>
    <t>Anlagenbedienung u. -reinigung</t>
  </si>
  <si>
    <t>Versicherung</t>
  </si>
  <si>
    <t>Summe laufende Kosten</t>
  </si>
  <si>
    <t>6.3 Zusammenstellung</t>
  </si>
  <si>
    <t>Gewinn</t>
  </si>
  <si>
    <t>7. Kennzahlen</t>
  </si>
  <si>
    <t>Bei Betrachtung Gesamtkapitalrentabilität</t>
  </si>
  <si>
    <t>Gesamtkapitalrentabilität</t>
  </si>
  <si>
    <t>=(Gewinn+Zinskosten)/(Invest/2)</t>
  </si>
  <si>
    <t>Gleichung:</t>
  </si>
  <si>
    <t>Rührkesselfermenter</t>
  </si>
  <si>
    <t>Propfenstromfermenter</t>
  </si>
  <si>
    <t>Einsatzstoff-vergütung in €-ct/kWh</t>
  </si>
  <si>
    <t>Anzahl Versuche [n]</t>
  </si>
  <si>
    <t>TM [% FM]</t>
  </si>
  <si>
    <t>oTM [%TM]</t>
  </si>
  <si>
    <t>Biogasertrag [Nl/kg oTM]</t>
  </si>
  <si>
    <r>
      <t>Methanertrag EEG [Nm</t>
    </r>
    <r>
      <rPr>
        <vertAlign val="superscript"/>
        <sz val="10"/>
        <color theme="1"/>
        <rFont val="Century Gothic"/>
        <family val="2"/>
      </rPr>
      <t>3</t>
    </r>
    <r>
      <rPr>
        <sz val="11"/>
        <rFont val="Century Gothic"/>
        <family val="2"/>
      </rPr>
      <t>/ t FM]</t>
    </r>
  </si>
  <si>
    <t>Methankonzentration [%]</t>
  </si>
  <si>
    <t>Substrat 1</t>
  </si>
  <si>
    <t>KTBL alt RW</t>
  </si>
  <si>
    <t>Schweinemist</t>
  </si>
  <si>
    <t>Quelle: LfL</t>
  </si>
  <si>
    <t xml:space="preserve">Schweinegülle </t>
  </si>
  <si>
    <t>n.v.</t>
  </si>
  <si>
    <t>Schafmist</t>
  </si>
  <si>
    <t>Maissilage&lt;27 %</t>
  </si>
  <si>
    <t>Maissilage&gt;36 %</t>
  </si>
  <si>
    <t>CCM</t>
  </si>
  <si>
    <t>Maiskorn</t>
  </si>
  <si>
    <t>LKS</t>
  </si>
  <si>
    <t>Getreidekorn</t>
  </si>
  <si>
    <t>Altbrot</t>
  </si>
  <si>
    <t>Backabfälle</t>
  </si>
  <si>
    <t>Biertreber (frisch/abgepresst)</t>
  </si>
  <si>
    <t>Buttermilch frisch</t>
  </si>
  <si>
    <t>Casein</t>
  </si>
  <si>
    <t>Fettabscheiderinhalt</t>
  </si>
  <si>
    <t>Flotatfette</t>
  </si>
  <si>
    <t>Flotatschlamm</t>
  </si>
  <si>
    <t>Fritierfette</t>
  </si>
  <si>
    <t>Gemüse (aussortiert)</t>
  </si>
  <si>
    <t>Gemüseabputz</t>
  </si>
  <si>
    <t>Getreide (Ausputz)</t>
  </si>
  <si>
    <t>Getreideabfälle</t>
  </si>
  <si>
    <t>Getreideschlempe</t>
  </si>
  <si>
    <t>Getreideschlempe aus der Alkoholproduktion</t>
  </si>
  <si>
    <t>RW</t>
  </si>
  <si>
    <t>Getreidestaub</t>
  </si>
  <si>
    <t>Grünschnitt aus Garten- u. Parkpflege</t>
  </si>
  <si>
    <t>Heil- und Gewürzpflanzen</t>
  </si>
  <si>
    <t>Kartoffelfruchtwasser aus der Stärkeproduktion</t>
  </si>
  <si>
    <t>Kartoffeln (aussortiert)</t>
  </si>
  <si>
    <t>Kartoffeln (gemust)</t>
  </si>
  <si>
    <t>Kartoffelprozesswasser aus der Stärkeproduktion</t>
  </si>
  <si>
    <t>Kartoffelpülpe aus der Stärkeproduktion</t>
  </si>
  <si>
    <t>Kartoffelschalen</t>
  </si>
  <si>
    <t>Kartoffelschlempe</t>
  </si>
  <si>
    <t>Kartoffelschlempe aus der Alkoholproduktion</t>
  </si>
  <si>
    <t>Kleie</t>
  </si>
  <si>
    <t>Labmolke eingedickt</t>
  </si>
  <si>
    <t>Labmolke frisch</t>
  </si>
  <si>
    <t>Mageninhalt (Schwein)</t>
  </si>
  <si>
    <t>Magermilch frisch</t>
  </si>
  <si>
    <t>Magermilch trocken</t>
  </si>
  <si>
    <t>Melasse aus der Rübenzuckerherstellung</t>
  </si>
  <si>
    <t>Milch</t>
  </si>
  <si>
    <t>Milchzucker</t>
  </si>
  <si>
    <t>Milchzuckermelasse</t>
  </si>
  <si>
    <t>Milchzuckermelasse proteinarm</t>
  </si>
  <si>
    <t>Molke</t>
  </si>
  <si>
    <t>Molke teilentzuckert trocken</t>
  </si>
  <si>
    <t>Obsttrester und Traubentrester</t>
  </si>
  <si>
    <t>Panseninhalt</t>
  </si>
  <si>
    <t>Quark</t>
  </si>
  <si>
    <t>Rapsextraktionsschrot</t>
  </si>
  <si>
    <t>Rapskuchen</t>
  </si>
  <si>
    <t>Rübenkleinteile</t>
  </si>
  <si>
    <t>Sauermolke eingedickt</t>
  </si>
  <si>
    <t>Sauermolke frisch</t>
  </si>
  <si>
    <t>Schnittblumen</t>
  </si>
  <si>
    <t>Speisereste</t>
  </si>
  <si>
    <t>Straßenbegleitgras</t>
  </si>
  <si>
    <t>Tierblut</t>
  </si>
  <si>
    <t>Zuckerrübenpresskuchen</t>
  </si>
  <si>
    <t>Zuckerrübenschnitzel</t>
  </si>
  <si>
    <t>sonstiges</t>
  </si>
  <si>
    <t>Futterrübe</t>
  </si>
  <si>
    <t>Futterrübenblatt</t>
  </si>
  <si>
    <t>Getreide (Ganzpflanze)</t>
  </si>
  <si>
    <t>Gras einschl. Ackergras</t>
  </si>
  <si>
    <t>Grünroggen (Ganzpflanze)</t>
  </si>
  <si>
    <t>Hülsenfrüchte (Ganzpflanze)</t>
  </si>
  <si>
    <t>Kartoffelkraut</t>
  </si>
  <si>
    <t>Körnermais</t>
  </si>
  <si>
    <t>Lieschkolbenschrot</t>
  </si>
  <si>
    <t>Mais (Ganzpflanze)</t>
  </si>
  <si>
    <t>Sonnenblume (Ganzpflanze)</t>
  </si>
  <si>
    <t>Sorghum (Ganzpflanze)</t>
  </si>
  <si>
    <t>Sudangras</t>
  </si>
  <si>
    <t>Weidelgras</t>
  </si>
  <si>
    <t>Zuckerrübe</t>
  </si>
  <si>
    <t>Zuckerrübenblatt</t>
  </si>
  <si>
    <t>Grassilage&lt;25%</t>
  </si>
  <si>
    <t>Grassilage&gt;40%</t>
  </si>
  <si>
    <t>Kleegras</t>
  </si>
  <si>
    <t>Klee</t>
  </si>
  <si>
    <t>Luzerne</t>
  </si>
  <si>
    <t>Sorghum sudanense</t>
  </si>
  <si>
    <t>Sorghum bicolor x sudanense</t>
  </si>
  <si>
    <t>Panicum virgatum</t>
  </si>
  <si>
    <t>Raps GPS</t>
  </si>
  <si>
    <t>Sonnenblume</t>
  </si>
  <si>
    <t>Raps (Zwischenfrucht)</t>
  </si>
  <si>
    <t>Ölrettich</t>
  </si>
  <si>
    <t>Rübsen</t>
  </si>
  <si>
    <t>Senf</t>
  </si>
  <si>
    <t>Apfeltrester</t>
  </si>
  <si>
    <t>Vinasse</t>
  </si>
  <si>
    <t>Methanertrag [Nl/kg oTM]</t>
  </si>
  <si>
    <t>Substrat 2</t>
  </si>
  <si>
    <t>korrigiert auf 2021</t>
  </si>
  <si>
    <r>
      <t>Biogasertrag [Nm</t>
    </r>
    <r>
      <rPr>
        <vertAlign val="superscript"/>
        <sz val="10"/>
        <color theme="1"/>
        <rFont val="Century Gothic"/>
        <family val="2"/>
      </rPr>
      <t>3</t>
    </r>
    <r>
      <rPr>
        <sz val="11"/>
        <rFont val="Century Gothic"/>
        <family val="2"/>
      </rPr>
      <t>/ t FM]</t>
    </r>
  </si>
  <si>
    <t>Substrat 3</t>
  </si>
  <si>
    <t>Substrat 4</t>
  </si>
  <si>
    <t>Substrat 5</t>
  </si>
  <si>
    <t>Substrat 6</t>
  </si>
  <si>
    <t>Substrat 7</t>
  </si>
  <si>
    <t>Substrat 8</t>
  </si>
  <si>
    <t>Substrat 9</t>
  </si>
  <si>
    <t>Kapitalkosten</t>
  </si>
  <si>
    <t>Zw.-frucht (Kleegras)</t>
  </si>
  <si>
    <t>Zw.-frucht (Weidelgras)</t>
  </si>
  <si>
    <t>Zw.-frucht (Grünroggen)</t>
  </si>
  <si>
    <t>Zw.-frucht (Raps)</t>
  </si>
  <si>
    <t>LfL (Silage Ährenschieben)</t>
  </si>
  <si>
    <t>LfL (Silage jung)</t>
  </si>
  <si>
    <t>Verkauf Biomethan</t>
  </si>
  <si>
    <t>Ausgaben</t>
  </si>
  <si>
    <t>Methanverluste (technisch-betriebswirtschaftlich nicht nutzbar)</t>
  </si>
  <si>
    <t>Angaben zu Preisen und Kosten (Netto)</t>
  </si>
  <si>
    <t>Einsatzstoffe</t>
  </si>
  <si>
    <r>
      <t xml:space="preserve">Bitte beachten Sie, dass </t>
    </r>
    <r>
      <rPr>
        <u/>
        <sz val="10"/>
        <rFont val="Arial"/>
        <family val="2"/>
      </rPr>
      <t>alle Angaben Pflichtangaben</t>
    </r>
    <r>
      <rPr>
        <sz val="10"/>
        <rFont val="Arial"/>
        <family val="2"/>
      </rPr>
      <t xml:space="preserve"> sind, ohne die eine Antragsbearbeitung nicht möglich ist!</t>
    </r>
  </si>
  <si>
    <t>Verkaufspreis Biomethan</t>
  </si>
  <si>
    <t>sonstige Kosten (Verwaltung, Labor, Gutachten)</t>
  </si>
  <si>
    <r>
      <t>Antragsteller/</t>
    </r>
    <r>
      <rPr>
        <b/>
        <sz val="10"/>
        <rFont val="Arial"/>
        <family val="2"/>
      </rPr>
      <t xml:space="preserve">Projektbezeichnung </t>
    </r>
    <r>
      <rPr>
        <sz val="10"/>
        <rFont val="Arial"/>
        <family val="2"/>
      </rPr>
      <t>(z. B.</t>
    </r>
    <r>
      <rPr>
        <b/>
        <sz val="10"/>
        <rFont val="Arial"/>
        <family val="2"/>
      </rPr>
      <t xml:space="preserve"> BGA XY</t>
    </r>
    <r>
      <rPr>
        <sz val="10"/>
        <rFont val="Arial"/>
        <family val="2"/>
      </rPr>
      <t>)</t>
    </r>
  </si>
  <si>
    <t>Einhausung Containerlösung</t>
  </si>
  <si>
    <t>Kosten "restliche Bauliche Anlagen und Erschließung"</t>
  </si>
  <si>
    <t>oder Einhausung Bauwerk</t>
  </si>
  <si>
    <t>Feinentschwefelung, sofern nicht in ÜS enthalten</t>
  </si>
  <si>
    <t>Übergabestation (ÜS) mit Gasbeschaffenheitsmessung</t>
  </si>
  <si>
    <t>Konditionierung inklusive Gastrocknung, sofern nicht in ÜS enthalten</t>
  </si>
  <si>
    <t>Kompression, sofern nicht in ÜS enthalten</t>
  </si>
  <si>
    <t>spez. Lohnkosten Aufbereitunganlage</t>
  </si>
  <si>
    <t>bedarfsgebundene und sonstige Kosten</t>
  </si>
  <si>
    <t>ct/kWh Hu</t>
  </si>
  <si>
    <t>t/a</t>
  </si>
  <si>
    <t>l/a</t>
  </si>
  <si>
    <t>m³/a</t>
  </si>
  <si>
    <t>kg/a</t>
  </si>
  <si>
    <t>ggf. Betriebsmittel (Art und Kosten)</t>
  </si>
  <si>
    <t>ggf. Entsorgungskosten</t>
  </si>
  <si>
    <t>Verluste</t>
  </si>
  <si>
    <t>€/kWh</t>
  </si>
  <si>
    <t>Folgende Einsatzstoffe sind zur Gaserzeugung für die beantragte Biogasaufbereitungsanlage vorgesehen:</t>
  </si>
  <si>
    <t>ggf. Betriebsmittel aufführen (Art und Menge)</t>
  </si>
  <si>
    <r>
      <rPr>
        <b/>
        <u/>
        <sz val="11"/>
        <color theme="1"/>
        <rFont val="Arial"/>
        <family val="2"/>
      </rPr>
      <t>Erklärung Antragsteller/in</t>
    </r>
    <r>
      <rPr>
        <b/>
        <sz val="11"/>
        <color theme="1"/>
        <rFont val="Arial"/>
        <family val="2"/>
      </rPr>
      <t>: 
Mir ist bekannt, dass diese Anlage verbindlicher Bestandteil des Förderantrags BioMeth Bayern ist und die darin gemachten Angaben subventionserheblich sind.</t>
    </r>
  </si>
  <si>
    <r>
      <t>CO</t>
    </r>
    <r>
      <rPr>
        <b/>
        <vertAlign val="subscript"/>
        <sz val="22"/>
        <color theme="1"/>
        <rFont val="Arial"/>
        <family val="2"/>
      </rPr>
      <t>2</t>
    </r>
    <r>
      <rPr>
        <b/>
        <sz val="22"/>
        <color theme="1"/>
        <rFont val="Arial"/>
        <family val="2"/>
      </rPr>
      <t>-Minderung</t>
    </r>
  </si>
  <si>
    <t>Angaben zur Kostenstruktur und Wirtschaftlichkeit</t>
  </si>
  <si>
    <t>Summe/Durchschnitt</t>
  </si>
  <si>
    <t>eig. Ansätze</t>
  </si>
  <si>
    <t>Höhe Eigenkapital</t>
  </si>
  <si>
    <t>Zw.Summe FF Kosten</t>
  </si>
  <si>
    <t>Eine neue Biogasaufbereitungsanlage mit einer Rohgasaufbereitungskapazität ab 350 Nm³/h</t>
  </si>
  <si>
    <t>Eine neue Biogasaufbereitungsanlage mit einer Rohgasaufbereitungskapazität ab 700 Nm³/h</t>
  </si>
  <si>
    <t>Eine Umrüstung einer bestehenden Biogasanlage zu einer neuen Biogasaufbereitungsanlage</t>
  </si>
  <si>
    <t>Es handelt sich um:</t>
  </si>
  <si>
    <t>Bauliche Anlagen und Erschließung</t>
  </si>
  <si>
    <t>weitere Kosten "Bauliche Anlagen und Erschließung"</t>
  </si>
  <si>
    <t>€/h</t>
  </si>
  <si>
    <r>
      <rPr>
        <sz val="11"/>
        <color theme="1"/>
        <rFont val="Arial"/>
        <family val="2"/>
      </rPr>
      <t>Name Antragsteller/in;</t>
    </r>
    <r>
      <rPr>
        <b/>
        <sz val="11"/>
        <color theme="1"/>
        <rFont val="Arial"/>
        <family val="2"/>
      </rPr>
      <t xml:space="preserve"> Projektbezeichnung </t>
    </r>
    <r>
      <rPr>
        <sz val="11"/>
        <color theme="1"/>
        <rFont val="Arial"/>
        <family val="2"/>
      </rPr>
      <t>(z. B.</t>
    </r>
    <r>
      <rPr>
        <b/>
        <sz val="11"/>
        <color theme="1"/>
        <rFont val="Arial"/>
        <family val="2"/>
      </rPr>
      <t xml:space="preserve"> Biogasaufbereitungsanlage Ort</t>
    </r>
    <r>
      <rPr>
        <sz val="11"/>
        <color theme="1"/>
        <rFont val="Arial"/>
        <family val="2"/>
      </rPr>
      <t>)</t>
    </r>
  </si>
  <si>
    <t>Ab hier können Sie Einsatzstoffe eintragen, für die keine vorgegebenen Werte zur Verfügung stehen:</t>
  </si>
  <si>
    <r>
      <t xml:space="preserve">Instandhaltung 
</t>
    </r>
    <r>
      <rPr>
        <sz val="10"/>
        <rFont val="Arial"/>
        <family val="2"/>
      </rPr>
      <t>(vgl. VDI 2067)</t>
    </r>
  </si>
  <si>
    <t>Nicht zuwendungsfähige Kosten (z.B. Fermenter, Fahrsilo, Rührwerk)</t>
  </si>
  <si>
    <t>Kosten für Machbarkeitsstudien, behördliche Gebühren</t>
  </si>
  <si>
    <t>Sonstige nicht zuwendungsfähige Kosten (z. B. Kosten für Grundstückskauf, Abbruch- und Demontagekosten, Zwischenfinanzierung und die Gestaltung des Außenbereichs etc.)</t>
  </si>
  <si>
    <t>Kosten Planung (max. 10% aus B19+B27)</t>
  </si>
  <si>
    <t>Methangehalt des Biomethan</t>
  </si>
  <si>
    <t>RiLi BioMeth Bayern v. 18.01.2024</t>
  </si>
  <si>
    <t>Wirtschaftlichkeitskalkulation</t>
  </si>
  <si>
    <t>Investitionskosten</t>
  </si>
  <si>
    <t>Methan frei Fermenter</t>
  </si>
  <si>
    <t>Biomethan</t>
  </si>
  <si>
    <t>Anteil</t>
  </si>
  <si>
    <t>Anteil an Investitionskosten</t>
  </si>
  <si>
    <t>h/a</t>
  </si>
  <si>
    <r>
      <t>BG</t>
    </r>
    <r>
      <rPr>
        <b/>
        <vertAlign val="subscript"/>
        <sz val="11"/>
        <rFont val="Arial"/>
        <family val="2"/>
      </rPr>
      <t>spez</t>
    </r>
  </si>
  <si>
    <r>
      <t>M</t>
    </r>
    <r>
      <rPr>
        <b/>
        <vertAlign val="subscript"/>
        <sz val="11"/>
        <rFont val="Arial"/>
        <family val="2"/>
      </rPr>
      <t>spez</t>
    </r>
  </si>
  <si>
    <r>
      <t xml:space="preserve">TS 
</t>
    </r>
    <r>
      <rPr>
        <sz val="8"/>
        <rFont val="Arial"/>
        <family val="2"/>
      </rPr>
      <t>(änderbar)</t>
    </r>
  </si>
  <si>
    <t>Erklärung Antragsteller/in: 
Mir ist bekannt, dass diese Anlage verbindlicher Bestandteil des Förderantrags BioMeth Bayern ist und die darin gemachten Angaben subventionserheblich sind.</t>
  </si>
  <si>
    <r>
      <rPr>
        <vertAlign val="superscript"/>
        <sz val="9"/>
        <color theme="1"/>
        <rFont val="Arial"/>
        <family val="2"/>
      </rPr>
      <t>1</t>
    </r>
    <r>
      <rPr>
        <sz val="9"/>
        <color theme="1"/>
        <rFont val="Arial"/>
        <family val="2"/>
      </rPr>
      <t xml:space="preserve"> Komparator gemäß Richtlinie (EU) 2018/2001 (RED II)  Anhang VI B Nr. 19 für Verkehr 94 kg CO2eq/GJ</t>
    </r>
  </si>
  <si>
    <t>Unterschrift, Stempel Ing.büro/Energieberater/sachk. Fachunternehmer</t>
  </si>
  <si>
    <r>
      <t xml:space="preserve">Summe </t>
    </r>
    <r>
      <rPr>
        <sz val="12"/>
        <color theme="1"/>
        <rFont val="Arial"/>
        <family val="2"/>
      </rPr>
      <t xml:space="preserve">erwartete </t>
    </r>
    <r>
      <rPr>
        <b/>
        <sz val="12"/>
        <color theme="1"/>
        <rFont val="Arial"/>
        <family val="2"/>
      </rPr>
      <t>Förderung BGAA:</t>
    </r>
  </si>
  <si>
    <r>
      <rPr>
        <sz val="12"/>
        <color theme="1"/>
        <rFont val="Arial"/>
        <family val="2"/>
      </rPr>
      <t>beantragte</t>
    </r>
    <r>
      <rPr>
        <b/>
        <sz val="12"/>
        <color theme="1"/>
        <rFont val="Arial"/>
        <family val="2"/>
      </rPr>
      <t xml:space="preserve"> zuwendungsfähige Investitionskosten</t>
    </r>
    <r>
      <rPr>
        <sz val="12"/>
        <color theme="1"/>
        <rFont val="Arial"/>
        <family val="2"/>
      </rPr>
      <t xml:space="preserve"> Biogasaufbereitungsanlage</t>
    </r>
    <r>
      <rPr>
        <b/>
        <sz val="12"/>
        <color theme="1"/>
        <rFont val="Arial"/>
        <family val="2"/>
      </rPr>
      <t xml:space="preserve"> </t>
    </r>
    <r>
      <rPr>
        <sz val="12"/>
        <color theme="1"/>
        <rFont val="Arial"/>
        <family val="2"/>
      </rPr>
      <t>(BGAA)</t>
    </r>
    <r>
      <rPr>
        <sz val="12"/>
        <color rgb="FF0000FF"/>
        <rFont val="Arial"/>
        <family val="2"/>
      </rPr>
      <t xml:space="preserve"> </t>
    </r>
    <r>
      <rPr>
        <sz val="10"/>
        <color rgb="FF0000FF"/>
        <rFont val="Arial"/>
        <family val="2"/>
      </rPr>
      <t>(Übertrag aus B 33)</t>
    </r>
  </si>
  <si>
    <r>
      <t>Kosten Biogasaufbereitungsanlage</t>
    </r>
    <r>
      <rPr>
        <sz val="12"/>
        <color theme="1"/>
        <rFont val="Arial"/>
        <family val="2"/>
      </rPr>
      <t xml:space="preserve"> ("BGAA")</t>
    </r>
  </si>
  <si>
    <r>
      <t xml:space="preserve">Name Antragsteller/in; </t>
    </r>
    <r>
      <rPr>
        <b/>
        <sz val="10"/>
        <color theme="1"/>
        <rFont val="Arial"/>
        <family val="2"/>
      </rPr>
      <t>Projektbezeichnung</t>
    </r>
    <r>
      <rPr>
        <sz val="11"/>
        <color theme="1"/>
        <rFont val="Calibri"/>
        <family val="2"/>
        <scheme val="minor"/>
      </rPr>
      <t xml:space="preserve"> (z. B. </t>
    </r>
    <r>
      <rPr>
        <b/>
        <sz val="10"/>
        <color theme="1"/>
        <rFont val="Arial"/>
        <family val="2"/>
      </rPr>
      <t>BGAA XY</t>
    </r>
    <r>
      <rPr>
        <sz val="11"/>
        <color theme="1"/>
        <rFont val="Calibri"/>
        <family val="2"/>
        <scheme val="minor"/>
      </rPr>
      <t>)</t>
    </r>
  </si>
  <si>
    <r>
      <t xml:space="preserve">kalkulierte Gesamtkosten der Investition 
</t>
    </r>
    <r>
      <rPr>
        <sz val="11"/>
        <color theme="1"/>
        <rFont val="Arial"/>
        <family val="2"/>
      </rPr>
      <t>(entspricht dem Gesamtfinanzierungsbedarf)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</si>
</sst>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2">
    <numFmt numFmtId="5" formatCode="#,##0\ &quot;€&quot;;\-#,##0\ &quot;€&quot;"/>
    <numFmt numFmtId="42" formatCode="_-* #,##0\ &quot;€&quot;_-;\-* #,##0\ &quot;€&quot;_-;_-* &quot;-&quot;\ &quot;€&quot;_-;_-@_-"/>
    <numFmt numFmtId="44" formatCode="_-* #,##0.00\ &quot;€&quot;_-;\-* #,##0.00\ &quot;€&quot;_-;_-* &quot;-&quot;??\ &quot;€&quot;_-;_-@_-"/>
    <numFmt numFmtId="43" formatCode="_-* #,##0.00_-;\-* #,##0.00_-;_-* &quot;-&quot;??_-;_-@_-"/>
    <numFmt numFmtId="164" formatCode="#,##0\ &quot;m³ BG / h&quot;"/>
    <numFmt numFmtId="165" formatCode="#,##0\ &quot;Vbh/a&quot;"/>
    <numFmt numFmtId="166" formatCode="#,##0.00\ &quot;kWh/m³M&quot;"/>
    <numFmt numFmtId="167" formatCode="0.0\ &quot;kg CO2/GJ&quot;"/>
    <numFmt numFmtId="168" formatCode="#,##0\ &quot;kWh/a&quot;"/>
    <numFmt numFmtId="169" formatCode="0.000\ &quot;t CO2/MWh&quot;"/>
    <numFmt numFmtId="170" formatCode="#,##0\ &quot;t CO2&quot;"/>
    <numFmt numFmtId="171" formatCode="0\ &quot;kg CO2/GJ&quot;"/>
    <numFmt numFmtId="172" formatCode="#,##0\ &quot;a&quot;"/>
    <numFmt numFmtId="173" formatCode="0.0%"/>
    <numFmt numFmtId="174" formatCode="#,##0\ &quot;m³ BG/t oTS&quot;"/>
    <numFmt numFmtId="175" formatCode="#,##0\ &quot;m³ BG&quot;"/>
    <numFmt numFmtId="176" formatCode="#,##0\ &quot;m³ M&quot;"/>
    <numFmt numFmtId="177" formatCode="0.000"/>
    <numFmt numFmtId="178" formatCode="d/m/yy;@"/>
    <numFmt numFmtId="179" formatCode="_-* #,##0.00\ [$€-407]_-;\-* #,##0.00\ [$€-407]_-;_-* &quot;-&quot;??\ [$€-407]_-;_-@_-"/>
    <numFmt numFmtId="180" formatCode="#,##0\ &quot;€&quot;"/>
    <numFmt numFmtId="181" formatCode="0\ &quot;Nm³/h&quot;"/>
    <numFmt numFmtId="182" formatCode="#,##0\ &quot;€/Nm³/h&quot;;\-#,##0\ &quot;€/Nm³/h&quot;"/>
    <numFmt numFmtId="183" formatCode="#,##0&quot;m³/h&quot;"/>
    <numFmt numFmtId="184" formatCode="0.000\ &quot;ct/m³Rohgas&quot;"/>
    <numFmt numFmtId="185" formatCode="0.000\ &quot;ct/kWhRohgas&quot;"/>
    <numFmt numFmtId="186" formatCode="0.00\ &quot;kWh/m³BG&quot;"/>
    <numFmt numFmtId="187" formatCode="#,##0.0000\ &quot;€&quot;;\-#,##0.0000\ &quot;€&quot;"/>
    <numFmt numFmtId="188" formatCode="#,##0\ &quot;m³ BG/h&quot;"/>
    <numFmt numFmtId="189" formatCode="#,##0\ &quot;kW-el&quot;"/>
    <numFmt numFmtId="190" formatCode="#,##0\ &quot;€/a&quot;"/>
    <numFmt numFmtId="191" formatCode="#,##0\ &quot;m³/a&quot;"/>
    <numFmt numFmtId="192" formatCode="0.0"/>
    <numFmt numFmtId="193" formatCode="#,##0\ &quot;h/a&quot;"/>
    <numFmt numFmtId="194" formatCode="#,##0\ &quot;kWhel/a&quot;"/>
    <numFmt numFmtId="195" formatCode="&quot;bis&quot;\ #,##0\ &quot;kWel&quot;"/>
    <numFmt numFmtId="196" formatCode="_-* #,##0\ &quot;€&quot;_-;\-* #,##0\ &quot;€&quot;_-;_-* &quot;-&quot;??\ &quot;€&quot;_-;_-@_-"/>
    <numFmt numFmtId="197" formatCode="0.0\ &quot;a&quot;"/>
    <numFmt numFmtId="198" formatCode="0.0000\ &quot;€/kWhel&quot;"/>
    <numFmt numFmtId="199" formatCode="#,##0\ &quot;kWhth/a&quot;"/>
    <numFmt numFmtId="200" formatCode="#,##0\ &quot;€/m&quot;"/>
    <numFmt numFmtId="201" formatCode="_-* #,##0.0\ &quot;€&quot;_-;\-* #,##0.0\ &quot;€&quot;_-;_-* &quot;-&quot;?\ &quot;€&quot;_-;_-@_-"/>
    <numFmt numFmtId="202" formatCode="0.00\ &quot;€/h&quot;"/>
    <numFmt numFmtId="203" formatCode="0.0000"/>
    <numFmt numFmtId="204" formatCode="0.0\ &quot;€/h&quot;"/>
    <numFmt numFmtId="205" formatCode="#,##0.00\ &quot;kWh/Nm³ Rohgas&quot;"/>
    <numFmt numFmtId="206" formatCode="0\ &quot;h/a&quot;"/>
    <numFmt numFmtId="207" formatCode="#,##0\ &quot;Nm³BG&quot;"/>
    <numFmt numFmtId="208" formatCode="0.0000\ &quot;€/kWhth&quot;"/>
    <numFmt numFmtId="209" formatCode="0.00\ &quot;ct/kWh Hu&quot;"/>
    <numFmt numFmtId="210" formatCode="#,##0.00\ &quot;kWhel/a&quot;"/>
    <numFmt numFmtId="211" formatCode="_-* #,##0_-;\-* #,##0_-;_-* &quot;-&quot;??_-;_-@_-"/>
  </numFmts>
  <fonts count="76" x14ac:knownFonts="1">
    <font>
      <sz val="11"/>
      <color theme="1"/>
      <name val="Calibri"/>
      <family val="2"/>
      <scheme val="minor"/>
    </font>
    <font>
      <sz val="11"/>
      <color theme="1"/>
      <name val="Century Gothic"/>
      <family val="2"/>
    </font>
    <font>
      <sz val="11"/>
      <color theme="1"/>
      <name val="Calibri"/>
      <family val="2"/>
      <scheme val="minor"/>
    </font>
    <font>
      <sz val="9"/>
      <color indexed="81"/>
      <name val="Segoe UI"/>
      <family val="2"/>
    </font>
    <font>
      <sz val="11"/>
      <name val="Arial"/>
      <family val="2"/>
    </font>
    <font>
      <b/>
      <sz val="12"/>
      <color theme="1"/>
      <name val="Arial"/>
      <family val="2"/>
    </font>
    <font>
      <sz val="8"/>
      <name val="Arial"/>
      <family val="2"/>
    </font>
    <font>
      <b/>
      <sz val="8"/>
      <name val="Arial"/>
      <family val="2"/>
    </font>
    <font>
      <sz val="10"/>
      <name val="Arial"/>
      <family val="2"/>
    </font>
    <font>
      <b/>
      <sz val="10"/>
      <name val="Arial"/>
      <family val="2"/>
    </font>
    <font>
      <b/>
      <sz val="11"/>
      <name val="Arial"/>
      <family val="2"/>
    </font>
    <font>
      <sz val="11"/>
      <color theme="1"/>
      <name val="Arial"/>
      <family val="2"/>
    </font>
    <font>
      <sz val="8"/>
      <color theme="1"/>
      <name val="Arial"/>
      <family val="2"/>
    </font>
    <font>
      <b/>
      <sz val="11"/>
      <color theme="1"/>
      <name val="Arial"/>
      <family val="2"/>
    </font>
    <font>
      <sz val="11"/>
      <color rgb="FFFF0000"/>
      <name val="Arial"/>
      <family val="2"/>
    </font>
    <font>
      <sz val="9"/>
      <color theme="1"/>
      <name val="Arial"/>
      <family val="2"/>
    </font>
    <font>
      <vertAlign val="subscript"/>
      <sz val="11"/>
      <color theme="1"/>
      <name val="Arial"/>
      <family val="2"/>
    </font>
    <font>
      <b/>
      <vertAlign val="subscript"/>
      <sz val="11"/>
      <color theme="1"/>
      <name val="Arial"/>
      <family val="2"/>
    </font>
    <font>
      <u/>
      <sz val="14"/>
      <name val="Arial"/>
      <family val="2"/>
    </font>
    <font>
      <sz val="14"/>
      <name val="Arial"/>
      <family val="2"/>
    </font>
    <font>
      <b/>
      <u/>
      <sz val="14"/>
      <color theme="1"/>
      <name val="Arial"/>
      <family val="2"/>
    </font>
    <font>
      <b/>
      <u/>
      <vertAlign val="subscript"/>
      <sz val="14"/>
      <color theme="1"/>
      <name val="Arial"/>
      <family val="2"/>
    </font>
    <font>
      <sz val="14"/>
      <color theme="1"/>
      <name val="Arial"/>
      <family val="2"/>
    </font>
    <font>
      <b/>
      <sz val="14"/>
      <color theme="1"/>
      <name val="Arial"/>
      <family val="2"/>
    </font>
    <font>
      <sz val="10"/>
      <color rgb="FFFF0000"/>
      <name val="Arial"/>
      <family val="2"/>
    </font>
    <font>
      <b/>
      <sz val="11"/>
      <name val="Century Gothic"/>
      <family val="2"/>
    </font>
    <font>
      <sz val="11"/>
      <name val="Century Gothic"/>
      <family val="2"/>
    </font>
    <font>
      <sz val="10"/>
      <name val="Arial Narrow"/>
      <family val="2"/>
    </font>
    <font>
      <b/>
      <sz val="10"/>
      <color theme="1"/>
      <name val="Arial"/>
      <family val="2"/>
    </font>
    <font>
      <sz val="10"/>
      <name val="MS Sans Serif"/>
      <family val="2"/>
    </font>
    <font>
      <sz val="10"/>
      <color theme="1"/>
      <name val="Arial"/>
      <family val="2"/>
    </font>
    <font>
      <sz val="12"/>
      <color theme="1"/>
      <name val="Arial"/>
      <family val="2"/>
    </font>
    <font>
      <b/>
      <sz val="12"/>
      <name val="Arial"/>
      <family val="2"/>
    </font>
    <font>
      <b/>
      <sz val="12"/>
      <color rgb="FFFF0000"/>
      <name val="Arial"/>
      <family val="2"/>
    </font>
    <font>
      <sz val="10"/>
      <color rgb="FF0000FF"/>
      <name val="Arial"/>
      <family val="2"/>
    </font>
    <font>
      <sz val="8.5"/>
      <name val="Arial"/>
      <family val="2"/>
    </font>
    <font>
      <b/>
      <sz val="11"/>
      <color rgb="FFFF0000"/>
      <name val="Arial"/>
      <family val="2"/>
    </font>
    <font>
      <sz val="11"/>
      <color rgb="FFFF0000"/>
      <name val="Calibri"/>
      <family val="2"/>
      <scheme val="minor"/>
    </font>
    <font>
      <sz val="9"/>
      <name val="Century Gothic"/>
      <family val="2"/>
    </font>
    <font>
      <sz val="11"/>
      <color rgb="FF000000"/>
      <name val="Calibri"/>
      <family val="2"/>
      <scheme val="minor"/>
    </font>
    <font>
      <b/>
      <sz val="11"/>
      <color theme="1"/>
      <name val="Calibri"/>
      <family val="2"/>
      <scheme val="minor"/>
    </font>
    <font>
      <b/>
      <sz val="10"/>
      <color rgb="FF000000"/>
      <name val="Arial"/>
      <family val="2"/>
    </font>
    <font>
      <b/>
      <sz val="7.7"/>
      <color rgb="FF000000"/>
      <name val="Arial"/>
      <family val="2"/>
    </font>
    <font>
      <sz val="9"/>
      <color theme="1"/>
      <name val="Century Gothic"/>
      <family val="2"/>
    </font>
    <font>
      <sz val="11"/>
      <name val="Calibri"/>
      <family val="2"/>
      <scheme val="minor"/>
    </font>
    <font>
      <sz val="8"/>
      <name val="Century Gothic"/>
      <family val="2"/>
    </font>
    <font>
      <b/>
      <sz val="8"/>
      <name val="Century Gothic"/>
      <family val="2"/>
    </font>
    <font>
      <sz val="10"/>
      <color rgb="FFFF0000"/>
      <name val="Century Gothic"/>
      <family val="2"/>
    </font>
    <font>
      <sz val="10"/>
      <color theme="1"/>
      <name val="Century Gothic"/>
      <family val="2"/>
    </font>
    <font>
      <b/>
      <sz val="9"/>
      <name val="Century Gothic"/>
      <family val="2"/>
    </font>
    <font>
      <i/>
      <sz val="9"/>
      <name val="Century Gothic"/>
      <family val="2"/>
    </font>
    <font>
      <sz val="2"/>
      <name val="Century Gothic"/>
      <family val="2"/>
    </font>
    <font>
      <sz val="5"/>
      <name val="Century Gothic"/>
      <family val="2"/>
    </font>
    <font>
      <sz val="7.5"/>
      <name val="Century Gothic"/>
      <family val="2"/>
    </font>
    <font>
      <i/>
      <sz val="8"/>
      <name val="Century Gothic"/>
      <family val="2"/>
    </font>
    <font>
      <u/>
      <sz val="9"/>
      <name val="Century Gothic"/>
      <family val="2"/>
    </font>
    <font>
      <b/>
      <sz val="5"/>
      <name val="Century Gothic"/>
      <family val="2"/>
    </font>
    <font>
      <b/>
      <i/>
      <sz val="9"/>
      <name val="Century Gothic"/>
      <family val="2"/>
    </font>
    <font>
      <b/>
      <u/>
      <sz val="9"/>
      <name val="Century Gothic"/>
      <family val="2"/>
    </font>
    <font>
      <vertAlign val="superscript"/>
      <sz val="10"/>
      <color theme="1"/>
      <name val="Century Gothic"/>
      <family val="2"/>
    </font>
    <font>
      <sz val="9"/>
      <name val="Arial"/>
      <family val="2"/>
    </font>
    <font>
      <u/>
      <sz val="10"/>
      <name val="Arial"/>
      <family val="2"/>
    </font>
    <font>
      <sz val="10"/>
      <color indexed="12"/>
      <name val="Arial"/>
      <family val="2"/>
    </font>
    <font>
      <sz val="10"/>
      <color theme="0" tint="-0.249977111117893"/>
      <name val="Arial"/>
      <family val="2"/>
    </font>
    <font>
      <sz val="10"/>
      <color theme="1"/>
      <name val="Calibri"/>
      <family val="2"/>
      <scheme val="minor"/>
    </font>
    <font>
      <b/>
      <sz val="22"/>
      <color theme="1"/>
      <name val="Arial"/>
      <family val="2"/>
    </font>
    <font>
      <b/>
      <vertAlign val="superscript"/>
      <sz val="11"/>
      <color theme="1"/>
      <name val="Arial"/>
      <family val="2"/>
    </font>
    <font>
      <b/>
      <u/>
      <sz val="11"/>
      <color theme="1"/>
      <name val="Arial"/>
      <family val="2"/>
    </font>
    <font>
      <b/>
      <vertAlign val="subscript"/>
      <sz val="22"/>
      <color theme="1"/>
      <name val="Arial"/>
      <family val="2"/>
    </font>
    <font>
      <sz val="12"/>
      <color rgb="FF0000FF"/>
      <name val="Arial"/>
      <family val="2"/>
    </font>
    <font>
      <b/>
      <sz val="11"/>
      <color rgb="FFFF0000"/>
      <name val="Arial Narrow"/>
      <family val="2"/>
    </font>
    <font>
      <b/>
      <sz val="14"/>
      <color theme="1"/>
      <name val="Century Gothic"/>
      <family val="2"/>
    </font>
    <font>
      <b/>
      <vertAlign val="subscript"/>
      <sz val="11"/>
      <name val="Arial"/>
      <family val="2"/>
    </font>
    <font>
      <vertAlign val="superscript"/>
      <sz val="9"/>
      <color theme="1"/>
      <name val="Arial"/>
      <family val="2"/>
    </font>
    <font>
      <b/>
      <sz val="20"/>
      <name val="Arial"/>
      <family val="2"/>
    </font>
    <font>
      <b/>
      <sz val="14"/>
      <color rgb="FFFF0000"/>
      <name val="Arial"/>
      <family val="2"/>
    </font>
  </fonts>
  <fills count="19">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FFFFCC"/>
        <bgColor indexed="64"/>
      </patternFill>
    </fill>
    <fill>
      <patternFill patternType="solid">
        <fgColor rgb="FFFFFF99"/>
        <bgColor indexed="64"/>
      </patternFill>
    </fill>
    <fill>
      <patternFill patternType="solid">
        <fgColor theme="5" tint="0.59999389629810485"/>
        <bgColor indexed="64"/>
      </patternFill>
    </fill>
    <fill>
      <patternFill patternType="solid">
        <fgColor rgb="FFE5E5E5"/>
        <bgColor indexed="64"/>
      </patternFill>
    </fill>
    <fill>
      <patternFill patternType="solid">
        <fgColor theme="0" tint="-0.14999847407452621"/>
        <bgColor indexed="64"/>
      </patternFill>
    </fill>
    <fill>
      <patternFill patternType="solid">
        <fgColor indexed="43"/>
        <bgColor indexed="64"/>
      </patternFill>
    </fill>
    <fill>
      <patternFill patternType="solid">
        <fgColor rgb="FF92D050"/>
        <bgColor indexed="64"/>
      </patternFill>
    </fill>
    <fill>
      <patternFill patternType="solid">
        <fgColor rgb="FFFFC000"/>
        <bgColor indexed="64"/>
      </patternFill>
    </fill>
    <fill>
      <patternFill patternType="solid">
        <fgColor rgb="FF99FF66"/>
        <bgColor indexed="64"/>
      </patternFill>
    </fill>
    <fill>
      <patternFill patternType="solid">
        <fgColor theme="9" tint="0.59999389629810485"/>
        <bgColor indexed="64"/>
      </patternFill>
    </fill>
    <fill>
      <patternFill patternType="solid">
        <fgColor theme="2"/>
        <bgColor indexed="64"/>
      </patternFill>
    </fill>
    <fill>
      <patternFill patternType="solid">
        <fgColor theme="0" tint="-0.249977111117893"/>
        <bgColor indexed="64"/>
      </patternFill>
    </fill>
  </fills>
  <borders count="6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hair">
        <color auto="1"/>
      </left>
      <right style="hair">
        <color auto="1"/>
      </right>
      <top style="hair">
        <color auto="1"/>
      </top>
      <bottom style="hair">
        <color auto="1"/>
      </bottom>
      <diagonal/>
    </border>
    <border>
      <left/>
      <right/>
      <top style="medium">
        <color indexed="64"/>
      </top>
      <bottom/>
      <diagonal/>
    </border>
    <border>
      <left/>
      <right/>
      <top/>
      <bottom style="thin">
        <color indexed="64"/>
      </bottom>
      <diagonal/>
    </border>
    <border>
      <left/>
      <right/>
      <top style="thin">
        <color indexed="64"/>
      </top>
      <bottom/>
      <diagonal/>
    </border>
    <border>
      <left style="hair">
        <color auto="1"/>
      </left>
      <right style="hair">
        <color auto="1"/>
      </right>
      <top style="hair">
        <color auto="1"/>
      </top>
      <bottom style="medium">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top/>
      <bottom style="double">
        <color indexed="64"/>
      </bottom>
      <diagonal/>
    </border>
    <border>
      <left/>
      <right/>
      <top/>
      <bottom style="medium">
        <color theme="0"/>
      </bottom>
      <diagonal/>
    </border>
    <border>
      <left/>
      <right style="medium">
        <color theme="0"/>
      </right>
      <top/>
      <bottom/>
      <diagonal/>
    </border>
    <border>
      <left style="medium">
        <color theme="0"/>
      </left>
      <right style="medium">
        <color theme="0"/>
      </right>
      <top style="medium">
        <color theme="0"/>
      </top>
      <bottom style="medium">
        <color theme="0"/>
      </bottom>
      <diagonal/>
    </border>
    <border>
      <left style="medium">
        <color theme="0"/>
      </left>
      <right style="medium">
        <color theme="0"/>
      </right>
      <top/>
      <bottom/>
      <diagonal/>
    </border>
    <border>
      <left style="medium">
        <color rgb="FFFFFFFF"/>
      </left>
      <right style="medium">
        <color rgb="FFFFFFFF"/>
      </right>
      <top style="medium">
        <color rgb="FFFFFFFF"/>
      </top>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bottom style="hair">
        <color indexed="64"/>
      </bottom>
      <diagonal/>
    </border>
    <border>
      <left/>
      <right/>
      <top style="double">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double">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right/>
      <top style="hair">
        <color auto="1"/>
      </top>
      <bottom/>
      <diagonal/>
    </border>
    <border>
      <left style="thin">
        <color indexed="64"/>
      </left>
      <right style="thin">
        <color indexed="64"/>
      </right>
      <top style="double">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medium">
        <color indexed="64"/>
      </bottom>
      <diagonal/>
    </border>
  </borders>
  <cellStyleXfs count="14">
    <xf numFmtId="0" fontId="0" fillId="0" borderId="0"/>
    <xf numFmtId="9" fontId="2" fillId="0" borderId="0" applyFont="0" applyFill="0" applyBorder="0" applyAlignment="0" applyProtection="0"/>
    <xf numFmtId="0" fontId="8" fillId="0" borderId="0"/>
    <xf numFmtId="9" fontId="8" fillId="0" borderId="0" applyFont="0" applyFill="0" applyBorder="0" applyAlignment="0" applyProtection="0"/>
    <xf numFmtId="43" fontId="2" fillId="0" borderId="0" applyFont="0" applyFill="0" applyBorder="0" applyAlignment="0" applyProtection="0"/>
    <xf numFmtId="0" fontId="29" fillId="0" borderId="0"/>
    <xf numFmtId="0" fontId="30" fillId="0" borderId="0"/>
    <xf numFmtId="9" fontId="30" fillId="0" borderId="0" applyFont="0" applyFill="0" applyBorder="0" applyAlignment="0" applyProtection="0"/>
    <xf numFmtId="44" fontId="30" fillId="0" borderId="0" applyFont="0" applyFill="0" applyBorder="0" applyAlignment="0" applyProtection="0"/>
    <xf numFmtId="44" fontId="2" fillId="0" borderId="0" applyFont="0" applyFill="0" applyBorder="0" applyAlignment="0" applyProtection="0"/>
    <xf numFmtId="0" fontId="26" fillId="0" borderId="0"/>
    <xf numFmtId="9" fontId="26" fillId="0" borderId="0" applyFont="0" applyFill="0" applyBorder="0" applyAlignment="0" applyProtection="0"/>
    <xf numFmtId="44" fontId="26" fillId="0" borderId="0" applyFont="0" applyFill="0" applyBorder="0" applyAlignment="0" applyProtection="0"/>
    <xf numFmtId="0" fontId="30" fillId="0" borderId="0"/>
  </cellStyleXfs>
  <cellXfs count="605">
    <xf numFmtId="0" fontId="0" fillId="0" borderId="0" xfId="0"/>
    <xf numFmtId="0" fontId="5" fillId="0" borderId="0" xfId="0" applyFont="1" applyAlignment="1" applyProtection="1">
      <alignment horizontal="left" vertical="top"/>
    </xf>
    <xf numFmtId="0" fontId="8" fillId="0" borderId="0" xfId="0" applyFont="1" applyAlignment="1" applyProtection="1">
      <alignment vertical="top"/>
    </xf>
    <xf numFmtId="0" fontId="6" fillId="0" borderId="0" xfId="0" applyFont="1" applyBorder="1" applyAlignment="1" applyProtection="1">
      <alignment horizontal="left" vertical="center"/>
    </xf>
    <xf numFmtId="0" fontId="4" fillId="0" borderId="0" xfId="0" applyFont="1" applyBorder="1" applyAlignment="1" applyProtection="1">
      <alignment horizontal="left" vertical="center"/>
    </xf>
    <xf numFmtId="0" fontId="11" fillId="0" borderId="0" xfId="0" applyFont="1" applyAlignment="1" applyProtection="1">
      <alignment horizontal="left" vertical="top"/>
    </xf>
    <xf numFmtId="0" fontId="12" fillId="0" borderId="0" xfId="0" applyFont="1" applyAlignment="1" applyProtection="1">
      <alignment horizontal="left" vertical="top"/>
    </xf>
    <xf numFmtId="0" fontId="11" fillId="0" borderId="4" xfId="0" applyFont="1" applyBorder="1" applyAlignment="1" applyProtection="1">
      <alignment horizontal="left" vertical="top" wrapText="1"/>
    </xf>
    <xf numFmtId="0" fontId="14" fillId="0" borderId="0" xfId="0" applyFont="1" applyAlignment="1" applyProtection="1">
      <alignment horizontal="left" vertical="top"/>
    </xf>
    <xf numFmtId="0" fontId="11" fillId="0" borderId="4" xfId="0" applyFont="1" applyBorder="1" applyAlignment="1" applyProtection="1">
      <alignment horizontal="left" vertical="top"/>
    </xf>
    <xf numFmtId="0" fontId="15" fillId="0" borderId="0" xfId="0" applyFont="1" applyProtection="1"/>
    <xf numFmtId="0" fontId="10" fillId="0" borderId="4" xfId="0" applyFont="1" applyBorder="1" applyAlignment="1" applyProtection="1">
      <alignment horizontal="left" vertical="top"/>
    </xf>
    <xf numFmtId="168" fontId="13" fillId="0" borderId="4" xfId="0" applyNumberFormat="1" applyFont="1" applyFill="1" applyBorder="1" applyAlignment="1" applyProtection="1">
      <alignment vertical="top"/>
    </xf>
    <xf numFmtId="0" fontId="11" fillId="0" borderId="0" xfId="0" applyFont="1" applyAlignment="1" applyProtection="1">
      <alignment vertical="top"/>
    </xf>
    <xf numFmtId="0" fontId="11" fillId="0" borderId="4" xfId="0" applyFont="1" applyBorder="1" applyAlignment="1" applyProtection="1">
      <alignment vertical="top"/>
    </xf>
    <xf numFmtId="171" fontId="11" fillId="0" borderId="4" xfId="0" applyNumberFormat="1" applyFont="1" applyFill="1" applyBorder="1" applyAlignment="1" applyProtection="1">
      <alignment vertical="top"/>
    </xf>
    <xf numFmtId="0" fontId="11" fillId="0" borderId="0" xfId="0" applyFont="1" applyAlignment="1" applyProtection="1">
      <alignment vertical="top" wrapText="1"/>
    </xf>
    <xf numFmtId="0" fontId="13" fillId="0" borderId="1" xfId="0" applyFont="1" applyBorder="1" applyAlignment="1" applyProtection="1">
      <alignment horizontal="left" vertical="top"/>
    </xf>
    <xf numFmtId="170" fontId="13" fillId="0" borderId="2" xfId="0" applyNumberFormat="1" applyFont="1" applyFill="1" applyBorder="1" applyAlignment="1" applyProtection="1">
      <alignment vertical="top"/>
    </xf>
    <xf numFmtId="172" fontId="11" fillId="0" borderId="0" xfId="0" applyNumberFormat="1" applyFont="1" applyAlignment="1" applyProtection="1">
      <alignment horizontal="right" vertical="top"/>
    </xf>
    <xf numFmtId="0" fontId="11" fillId="2" borderId="0" xfId="0" applyFont="1" applyFill="1" applyAlignment="1" applyProtection="1">
      <alignment horizontal="left" vertical="top"/>
    </xf>
    <xf numFmtId="0" fontId="18" fillId="0" borderId="0" xfId="0" applyFont="1" applyBorder="1" applyAlignment="1" applyProtection="1">
      <alignment horizontal="left" vertical="center"/>
    </xf>
    <xf numFmtId="0" fontId="20" fillId="0" borderId="0" xfId="0" applyFont="1" applyAlignment="1" applyProtection="1">
      <alignment horizontal="left" vertical="top"/>
    </xf>
    <xf numFmtId="0" fontId="22" fillId="0" borderId="0" xfId="0" applyFont="1" applyAlignment="1" applyProtection="1">
      <alignment horizontal="left" vertical="top"/>
    </xf>
    <xf numFmtId="0" fontId="23" fillId="0" borderId="0" xfId="0" applyFont="1" applyAlignment="1" applyProtection="1">
      <alignment horizontal="left" vertical="top"/>
    </xf>
    <xf numFmtId="0" fontId="11" fillId="0" borderId="0" xfId="0" applyFont="1" applyAlignment="1">
      <alignment horizontal="left" vertical="top"/>
    </xf>
    <xf numFmtId="0" fontId="8" fillId="0" borderId="7" xfId="0" applyFont="1" applyBorder="1"/>
    <xf numFmtId="167" fontId="11" fillId="0" borderId="4" xfId="0" applyNumberFormat="1" applyFont="1" applyFill="1" applyBorder="1" applyAlignment="1" applyProtection="1">
      <alignment vertical="top"/>
    </xf>
    <xf numFmtId="169" fontId="11" fillId="0" borderId="8" xfId="0" applyNumberFormat="1" applyFont="1" applyFill="1" applyBorder="1" applyAlignment="1" applyProtection="1">
      <alignment vertical="top"/>
    </xf>
    <xf numFmtId="0" fontId="6" fillId="0" borderId="0" xfId="0" applyFont="1" applyBorder="1" applyAlignment="1" applyProtection="1">
      <alignment horizontal="left" vertical="center"/>
      <protection locked="0"/>
    </xf>
    <xf numFmtId="164" fontId="11" fillId="0" borderId="4" xfId="0" applyNumberFormat="1" applyFont="1" applyFill="1" applyBorder="1" applyAlignment="1" applyProtection="1">
      <alignment vertical="top"/>
      <protection locked="0"/>
    </xf>
    <xf numFmtId="0" fontId="1" fillId="0" borderId="0" xfId="0" applyFont="1"/>
    <xf numFmtId="0" fontId="23" fillId="0" borderId="0" xfId="6" applyFont="1" applyAlignment="1">
      <alignment vertical="center" wrapText="1"/>
    </xf>
    <xf numFmtId="0" fontId="30" fillId="0" borderId="0" xfId="6"/>
    <xf numFmtId="0" fontId="30" fillId="0" borderId="0" xfId="6" applyAlignment="1">
      <alignment horizontal="left"/>
    </xf>
    <xf numFmtId="0" fontId="5" fillId="0" borderId="0" xfId="6" applyFont="1" applyAlignment="1">
      <alignment horizontal="left" wrapText="1"/>
    </xf>
    <xf numFmtId="0" fontId="8" fillId="0" borderId="0" xfId="6" applyFont="1" applyAlignment="1">
      <alignment vertical="center"/>
    </xf>
    <xf numFmtId="0" fontId="30" fillId="0" borderId="0" xfId="6" applyAlignment="1">
      <alignment vertical="center"/>
    </xf>
    <xf numFmtId="0" fontId="5" fillId="0" borderId="0" xfId="6" applyFont="1"/>
    <xf numFmtId="0" fontId="28" fillId="0" borderId="0" xfId="6" applyFont="1"/>
    <xf numFmtId="0" fontId="23" fillId="0" borderId="0" xfId="6" applyFont="1" applyAlignment="1">
      <alignment horizontal="left" vertical="center" wrapText="1"/>
    </xf>
    <xf numFmtId="0" fontId="30" fillId="0" borderId="0" xfId="6" applyAlignment="1">
      <alignment horizontal="left" vertical="center"/>
    </xf>
    <xf numFmtId="0" fontId="30" fillId="0" borderId="5" xfId="6" applyBorder="1" applyAlignment="1">
      <alignment vertical="center"/>
    </xf>
    <xf numFmtId="0" fontId="28" fillId="0" borderId="18" xfId="6" applyFont="1" applyBorder="1" applyAlignment="1">
      <alignment horizontal="right" vertical="top"/>
    </xf>
    <xf numFmtId="0" fontId="5" fillId="0" borderId="0" xfId="6" applyFont="1" applyAlignment="1">
      <alignment horizontal="left" vertical="center" wrapText="1"/>
    </xf>
    <xf numFmtId="0" fontId="28" fillId="0" borderId="18" xfId="6" applyFont="1" applyBorder="1" applyAlignment="1">
      <alignment horizontal="right" vertical="center"/>
    </xf>
    <xf numFmtId="0" fontId="9" fillId="0" borderId="20" xfId="6" applyFont="1" applyBorder="1" applyAlignment="1">
      <alignment horizontal="left" vertical="center"/>
    </xf>
    <xf numFmtId="0" fontId="28" fillId="0" borderId="21" xfId="6" applyFont="1" applyBorder="1" applyAlignment="1">
      <alignment vertical="center"/>
    </xf>
    <xf numFmtId="0" fontId="30" fillId="0" borderId="22" xfId="6" applyBorder="1" applyAlignment="1">
      <alignment vertical="center" wrapText="1"/>
    </xf>
    <xf numFmtId="179" fontId="30" fillId="0" borderId="0" xfId="6" applyNumberFormat="1" applyAlignment="1">
      <alignment vertical="center"/>
    </xf>
    <xf numFmtId="0" fontId="30" fillId="0" borderId="25" xfId="6" applyBorder="1" applyAlignment="1">
      <alignment vertical="center"/>
    </xf>
    <xf numFmtId="0" fontId="8" fillId="0" borderId="25" xfId="6" applyFont="1" applyBorder="1" applyAlignment="1">
      <alignment vertical="center"/>
    </xf>
    <xf numFmtId="0" fontId="30" fillId="5" borderId="10" xfId="6" applyFill="1" applyBorder="1"/>
    <xf numFmtId="0" fontId="30" fillId="5" borderId="11" xfId="6" applyFill="1" applyBorder="1"/>
    <xf numFmtId="0" fontId="30" fillId="5" borderId="12" xfId="6" applyFill="1" applyBorder="1"/>
    <xf numFmtId="0" fontId="28" fillId="0" borderId="18" xfId="6" applyFont="1" applyBorder="1" applyAlignment="1">
      <alignment vertical="center"/>
    </xf>
    <xf numFmtId="0" fontId="28" fillId="0" borderId="18" xfId="6" applyFont="1" applyBorder="1" applyAlignment="1">
      <alignment horizontal="left" vertical="center" wrapText="1"/>
    </xf>
    <xf numFmtId="42" fontId="0" fillId="5" borderId="12" xfId="8" applyNumberFormat="1" applyFont="1" applyFill="1" applyBorder="1"/>
    <xf numFmtId="0" fontId="30" fillId="0" borderId="15" xfId="6" applyBorder="1" applyAlignment="1">
      <alignment vertical="center" wrapText="1"/>
    </xf>
    <xf numFmtId="0" fontId="28" fillId="0" borderId="21" xfId="6" applyFont="1" applyBorder="1" applyAlignment="1">
      <alignment horizontal="left" vertical="center" wrapText="1"/>
    </xf>
    <xf numFmtId="0" fontId="28" fillId="5" borderId="10" xfId="6" applyFont="1" applyFill="1" applyBorder="1"/>
    <xf numFmtId="0" fontId="28" fillId="5" borderId="11" xfId="6" applyFont="1" applyFill="1" applyBorder="1"/>
    <xf numFmtId="42" fontId="0" fillId="5" borderId="11" xfId="8" applyNumberFormat="1" applyFont="1" applyFill="1" applyBorder="1"/>
    <xf numFmtId="0" fontId="5" fillId="5" borderId="28" xfId="6" applyFont="1" applyFill="1" applyBorder="1" applyAlignment="1">
      <alignment vertical="center"/>
    </xf>
    <xf numFmtId="179" fontId="30" fillId="0" borderId="0" xfId="6" applyNumberFormat="1"/>
    <xf numFmtId="0" fontId="8" fillId="0" borderId="26" xfId="6" applyFont="1" applyBorder="1" applyAlignment="1">
      <alignment horizontal="left" vertical="center" wrapText="1"/>
    </xf>
    <xf numFmtId="0" fontId="28" fillId="0" borderId="10" xfId="6" applyFont="1" applyBorder="1" applyAlignment="1">
      <alignment vertical="center"/>
    </xf>
    <xf numFmtId="180" fontId="30" fillId="0" borderId="0" xfId="6" applyNumberFormat="1"/>
    <xf numFmtId="0" fontId="5" fillId="0" borderId="0" xfId="6" applyFont="1" applyAlignment="1">
      <alignment wrapText="1"/>
    </xf>
    <xf numFmtId="180" fontId="32" fillId="0" borderId="30" xfId="6" applyNumberFormat="1" applyFont="1" applyBorder="1"/>
    <xf numFmtId="0" fontId="5" fillId="0" borderId="0" xfId="6" applyFont="1" applyAlignment="1">
      <alignment vertical="center" wrapText="1"/>
    </xf>
    <xf numFmtId="0" fontId="5" fillId="5" borderId="0" xfId="6" applyFont="1" applyFill="1" applyAlignment="1">
      <alignment wrapText="1"/>
    </xf>
    <xf numFmtId="180" fontId="32" fillId="5" borderId="30" xfId="6" applyNumberFormat="1" applyFont="1" applyFill="1" applyBorder="1"/>
    <xf numFmtId="0" fontId="5" fillId="6" borderId="0" xfId="6" applyFont="1" applyFill="1" applyAlignment="1">
      <alignment vertical="top" wrapText="1"/>
    </xf>
    <xf numFmtId="0" fontId="31" fillId="0" borderId="0" xfId="6" applyFont="1"/>
    <xf numFmtId="9" fontId="5" fillId="0" borderId="0" xfId="7" applyFont="1" applyFill="1" applyBorder="1" applyAlignment="1" applyProtection="1">
      <alignment horizontal="right" vertical="center"/>
      <protection locked="0"/>
    </xf>
    <xf numFmtId="0" fontId="35" fillId="0" borderId="0" xfId="6" applyFont="1"/>
    <xf numFmtId="0" fontId="31" fillId="0" borderId="0" xfId="6" applyFont="1" applyAlignment="1">
      <alignment horizontal="left"/>
    </xf>
    <xf numFmtId="0" fontId="30" fillId="0" borderId="0" xfId="6" applyAlignment="1">
      <alignment wrapText="1"/>
    </xf>
    <xf numFmtId="180" fontId="32" fillId="0" borderId="0" xfId="6" applyNumberFormat="1" applyFont="1"/>
    <xf numFmtId="0" fontId="24" fillId="0" borderId="0" xfId="6" applyFont="1"/>
    <xf numFmtId="180" fontId="32" fillId="5" borderId="30" xfId="6" applyNumberFormat="1" applyFont="1" applyFill="1" applyBorder="1" applyAlignment="1">
      <alignment horizontal="right"/>
    </xf>
    <xf numFmtId="0" fontId="9" fillId="0" borderId="0" xfId="6" applyFont="1"/>
    <xf numFmtId="0" fontId="30" fillId="5" borderId="0" xfId="6" applyFill="1" applyAlignment="1">
      <alignment vertical="top"/>
    </xf>
    <xf numFmtId="0" fontId="36" fillId="0" borderId="0" xfId="6" applyFont="1"/>
    <xf numFmtId="0" fontId="30" fillId="0" borderId="6" xfId="6" applyBorder="1"/>
    <xf numFmtId="0" fontId="8" fillId="0" borderId="0" xfId="6" applyFont="1"/>
    <xf numFmtId="0" fontId="27" fillId="0" borderId="0" xfId="6" applyFont="1"/>
    <xf numFmtId="0" fontId="30" fillId="0" borderId="0" xfId="6" applyAlignment="1">
      <alignment horizontal="center" vertical="center"/>
    </xf>
    <xf numFmtId="0" fontId="30" fillId="0" borderId="9" xfId="6" applyBorder="1"/>
    <xf numFmtId="0" fontId="28" fillId="0" borderId="9" xfId="6" applyFont="1" applyBorder="1"/>
    <xf numFmtId="0" fontId="30" fillId="0" borderId="9" xfId="6" applyBorder="1" applyAlignment="1">
      <alignment horizontal="center" vertical="center"/>
    </xf>
    <xf numFmtId="9" fontId="0" fillId="0" borderId="9" xfId="7" applyFont="1" applyBorder="1"/>
    <xf numFmtId="9" fontId="28" fillId="0" borderId="9" xfId="7" applyFont="1" applyBorder="1"/>
    <xf numFmtId="9" fontId="0" fillId="0" borderId="9" xfId="7" applyFont="1" applyFill="1" applyBorder="1"/>
    <xf numFmtId="0" fontId="37" fillId="0" borderId="0" xfId="0" applyFont="1"/>
    <xf numFmtId="0" fontId="0" fillId="0" borderId="31" xfId="0" applyBorder="1"/>
    <xf numFmtId="0" fontId="0" fillId="0" borderId="32" xfId="0" applyBorder="1"/>
    <xf numFmtId="181" fontId="38" fillId="9" borderId="34" xfId="0" applyNumberFormat="1" applyFont="1" applyFill="1" applyBorder="1"/>
    <xf numFmtId="182" fontId="38" fillId="8" borderId="33" xfId="0" applyNumberFormat="1" applyFont="1" applyFill="1" applyBorder="1"/>
    <xf numFmtId="10" fontId="38" fillId="8" borderId="33" xfId="1" applyNumberFormat="1" applyFont="1" applyFill="1" applyBorder="1"/>
    <xf numFmtId="0" fontId="0" fillId="8" borderId="33" xfId="0" applyFill="1" applyBorder="1"/>
    <xf numFmtId="10" fontId="0" fillId="8" borderId="33" xfId="1" applyNumberFormat="1" applyFont="1" applyFill="1" applyBorder="1"/>
    <xf numFmtId="183" fontId="0" fillId="0" borderId="0" xfId="0" applyNumberFormat="1"/>
    <xf numFmtId="44" fontId="0" fillId="0" borderId="0" xfId="9" applyFont="1"/>
    <xf numFmtId="42" fontId="39" fillId="10" borderId="35" xfId="9" applyNumberFormat="1" applyFont="1" applyFill="1" applyBorder="1" applyAlignment="1">
      <alignment horizontal="right" vertical="center" wrapText="1"/>
    </xf>
    <xf numFmtId="0" fontId="2" fillId="0" borderId="0" xfId="0" applyFont="1"/>
    <xf numFmtId="0" fontId="40" fillId="11" borderId="33" xfId="0" applyFont="1" applyFill="1" applyBorder="1"/>
    <xf numFmtId="183" fontId="40" fillId="11" borderId="33" xfId="0" applyNumberFormat="1" applyFont="1" applyFill="1" applyBorder="1"/>
    <xf numFmtId="44" fontId="40" fillId="11" borderId="33" xfId="9" applyFont="1" applyFill="1" applyBorder="1"/>
    <xf numFmtId="0" fontId="40" fillId="11" borderId="33" xfId="0" applyFont="1" applyFill="1" applyBorder="1" applyAlignment="1">
      <alignment wrapText="1"/>
    </xf>
    <xf numFmtId="0" fontId="41" fillId="11" borderId="33" xfId="0" applyFont="1" applyFill="1" applyBorder="1"/>
    <xf numFmtId="42" fontId="39" fillId="8" borderId="36" xfId="9" applyNumberFormat="1" applyFont="1" applyFill="1" applyBorder="1" applyAlignment="1">
      <alignment horizontal="right" vertical="center" wrapText="1"/>
    </xf>
    <xf numFmtId="10" fontId="39" fillId="8" borderId="36" xfId="1" applyNumberFormat="1" applyFont="1" applyFill="1" applyBorder="1" applyAlignment="1">
      <alignment horizontal="right" vertical="center" wrapText="1"/>
    </xf>
    <xf numFmtId="184" fontId="0" fillId="0" borderId="0" xfId="0" applyNumberFormat="1"/>
    <xf numFmtId="185" fontId="0" fillId="0" borderId="0" xfId="0" applyNumberFormat="1"/>
    <xf numFmtId="186" fontId="43" fillId="8" borderId="33" xfId="0" applyNumberFormat="1" applyFont="1" applyFill="1" applyBorder="1"/>
    <xf numFmtId="187" fontId="39" fillId="10" borderId="37" xfId="9" applyNumberFormat="1" applyFont="1" applyFill="1" applyBorder="1" applyAlignment="1">
      <alignment horizontal="right" vertical="center" wrapText="1"/>
    </xf>
    <xf numFmtId="182" fontId="44" fillId="0" borderId="0" xfId="0" applyNumberFormat="1" applyFont="1"/>
    <xf numFmtId="186" fontId="43" fillId="0" borderId="0" xfId="0" applyNumberFormat="1" applyFont="1"/>
    <xf numFmtId="42" fontId="39" fillId="8" borderId="38" xfId="9" applyNumberFormat="1" applyFont="1" applyFill="1" applyBorder="1" applyAlignment="1">
      <alignment horizontal="right" vertical="center" wrapText="1"/>
    </xf>
    <xf numFmtId="10" fontId="39" fillId="8" borderId="38" xfId="1" applyNumberFormat="1" applyFont="1" applyFill="1" applyBorder="1" applyAlignment="1">
      <alignment horizontal="right" vertical="center" wrapText="1"/>
    </xf>
    <xf numFmtId="187" fontId="39" fillId="10" borderId="39" xfId="9" applyNumberFormat="1" applyFont="1" applyFill="1" applyBorder="1" applyAlignment="1">
      <alignment horizontal="right" vertical="center" wrapText="1"/>
    </xf>
    <xf numFmtId="0" fontId="44" fillId="0" borderId="0" xfId="0" applyFont="1"/>
    <xf numFmtId="183" fontId="44" fillId="0" borderId="0" xfId="0" applyNumberFormat="1" applyFont="1"/>
    <xf numFmtId="42" fontId="44" fillId="8" borderId="38" xfId="9" applyNumberFormat="1" applyFont="1" applyFill="1" applyBorder="1" applyAlignment="1">
      <alignment horizontal="right" vertical="center" wrapText="1"/>
    </xf>
    <xf numFmtId="10" fontId="44" fillId="8" borderId="38" xfId="1" applyNumberFormat="1" applyFont="1" applyFill="1" applyBorder="1" applyAlignment="1">
      <alignment horizontal="right" vertical="center" wrapText="1"/>
    </xf>
    <xf numFmtId="184" fontId="44" fillId="0" borderId="0" xfId="0" applyNumberFormat="1" applyFont="1"/>
    <xf numFmtId="185" fontId="44" fillId="0" borderId="0" xfId="0" applyNumberFormat="1" applyFont="1"/>
    <xf numFmtId="187" fontId="44" fillId="10" borderId="39" xfId="9" applyNumberFormat="1" applyFont="1" applyFill="1" applyBorder="1" applyAlignment="1">
      <alignment horizontal="right" vertical="center" wrapText="1"/>
    </xf>
    <xf numFmtId="0" fontId="40" fillId="0" borderId="0" xfId="0" applyFont="1"/>
    <xf numFmtId="182" fontId="38" fillId="0" borderId="0" xfId="0" applyNumberFormat="1" applyFont="1"/>
    <xf numFmtId="10" fontId="0" fillId="0" borderId="0" xfId="1" applyNumberFormat="1" applyFont="1"/>
    <xf numFmtId="10" fontId="0" fillId="0" borderId="0" xfId="0" applyNumberFormat="1"/>
    <xf numFmtId="3" fontId="0" fillId="9" borderId="33" xfId="0" applyNumberFormat="1" applyFill="1" applyBorder="1"/>
    <xf numFmtId="0" fontId="49" fillId="0" borderId="0" xfId="10" applyFont="1" applyAlignment="1">
      <alignment vertical="top"/>
    </xf>
    <xf numFmtId="0" fontId="38" fillId="0" borderId="0" xfId="10" applyFont="1" applyAlignment="1">
      <alignment vertical="top"/>
    </xf>
    <xf numFmtId="190" fontId="38" fillId="0" borderId="0" xfId="10" applyNumberFormat="1" applyFont="1" applyAlignment="1">
      <alignment vertical="top"/>
    </xf>
    <xf numFmtId="0" fontId="51" fillId="0" borderId="0" xfId="10" applyFont="1" applyAlignment="1">
      <alignment vertical="top"/>
    </xf>
    <xf numFmtId="0" fontId="38" fillId="0" borderId="0" xfId="2" applyFont="1" applyAlignment="1">
      <alignment vertical="top"/>
    </xf>
    <xf numFmtId="193" fontId="38" fillId="0" borderId="0" xfId="10" applyNumberFormat="1" applyFont="1" applyAlignment="1">
      <alignment vertical="top"/>
    </xf>
    <xf numFmtId="0" fontId="38" fillId="0" borderId="44" xfId="10" applyFont="1" applyBorder="1" applyAlignment="1">
      <alignment vertical="top"/>
    </xf>
    <xf numFmtId="0" fontId="52" fillId="0" borderId="0" xfId="10" applyFont="1" applyAlignment="1">
      <alignment vertical="top"/>
    </xf>
    <xf numFmtId="0" fontId="50" fillId="0" borderId="0" xfId="10" applyFont="1" applyAlignment="1">
      <alignment vertical="top"/>
    </xf>
    <xf numFmtId="194" fontId="45" fillId="0" borderId="0" xfId="10" applyNumberFormat="1" applyFont="1" applyAlignment="1">
      <alignment vertical="top"/>
    </xf>
    <xf numFmtId="195" fontId="50" fillId="0" borderId="0" xfId="10" applyNumberFormat="1" applyFont="1" applyAlignment="1">
      <alignment vertical="top"/>
    </xf>
    <xf numFmtId="194" fontId="53" fillId="0" borderId="0" xfId="10" applyNumberFormat="1" applyFont="1" applyAlignment="1">
      <alignment vertical="top"/>
    </xf>
    <xf numFmtId="190" fontId="50" fillId="0" borderId="0" xfId="10" applyNumberFormat="1" applyFont="1" applyAlignment="1">
      <alignment vertical="top"/>
    </xf>
    <xf numFmtId="189" fontId="50" fillId="0" borderId="0" xfId="10" applyNumberFormat="1" applyFont="1" applyAlignment="1">
      <alignment horizontal="left" vertical="top" wrapText="1"/>
    </xf>
    <xf numFmtId="0" fontId="50" fillId="0" borderId="0" xfId="10" applyFont="1" applyAlignment="1">
      <alignment horizontal="left" vertical="top" wrapText="1"/>
    </xf>
    <xf numFmtId="196" fontId="38" fillId="0" borderId="0" xfId="10" applyNumberFormat="1" applyFont="1" applyAlignment="1">
      <alignment vertical="top"/>
    </xf>
    <xf numFmtId="173" fontId="38" fillId="0" borderId="0" xfId="10" applyNumberFormat="1" applyFont="1" applyAlignment="1">
      <alignment vertical="top"/>
    </xf>
    <xf numFmtId="196" fontId="38" fillId="0" borderId="30" xfId="10" applyNumberFormat="1" applyFont="1" applyBorder="1" applyAlignment="1">
      <alignment vertical="top"/>
    </xf>
    <xf numFmtId="173" fontId="38" fillId="0" borderId="30" xfId="10" applyNumberFormat="1" applyFont="1" applyBorder="1" applyAlignment="1">
      <alignment vertical="top"/>
    </xf>
    <xf numFmtId="190" fontId="38" fillId="0" borderId="30" xfId="10" applyNumberFormat="1" applyFont="1" applyBorder="1" applyAlignment="1">
      <alignment vertical="top"/>
    </xf>
    <xf numFmtId="194" fontId="51" fillId="0" borderId="0" xfId="10" applyNumberFormat="1" applyFont="1" applyAlignment="1">
      <alignment vertical="top"/>
    </xf>
    <xf numFmtId="196" fontId="49" fillId="4" borderId="0" xfId="10" applyNumberFormat="1" applyFont="1" applyFill="1" applyAlignment="1">
      <alignment vertical="top"/>
    </xf>
    <xf numFmtId="194" fontId="54" fillId="0" borderId="0" xfId="10" applyNumberFormat="1" applyFont="1" applyAlignment="1">
      <alignment vertical="top"/>
    </xf>
    <xf numFmtId="10" fontId="38" fillId="0" borderId="0" xfId="11" applyNumberFormat="1" applyFont="1" applyAlignment="1">
      <alignment vertical="top"/>
    </xf>
    <xf numFmtId="195" fontId="51" fillId="0" borderId="0" xfId="10" applyNumberFormat="1" applyFont="1" applyAlignment="1">
      <alignment vertical="top"/>
    </xf>
    <xf numFmtId="0" fontId="55" fillId="0" borderId="0" xfId="10" applyFont="1" applyAlignment="1">
      <alignment horizontal="center" vertical="top" wrapText="1"/>
    </xf>
    <xf numFmtId="0" fontId="26" fillId="0" borderId="0" xfId="10" applyAlignment="1">
      <alignment vertical="top"/>
    </xf>
    <xf numFmtId="190" fontId="49" fillId="0" borderId="0" xfId="10" applyNumberFormat="1" applyFont="1" applyAlignment="1">
      <alignment vertical="top"/>
    </xf>
    <xf numFmtId="191" fontId="38" fillId="0" borderId="0" xfId="10" applyNumberFormat="1" applyFont="1" applyAlignment="1">
      <alignment vertical="top"/>
    </xf>
    <xf numFmtId="190" fontId="52" fillId="0" borderId="0" xfId="10" applyNumberFormat="1" applyFont="1" applyAlignment="1">
      <alignment vertical="top"/>
    </xf>
    <xf numFmtId="0" fontId="56" fillId="0" borderId="0" xfId="10" applyFont="1" applyAlignment="1">
      <alignment vertical="top"/>
    </xf>
    <xf numFmtId="190" fontId="56" fillId="0" borderId="0" xfId="10" applyNumberFormat="1" applyFont="1" applyAlignment="1">
      <alignment vertical="top"/>
    </xf>
    <xf numFmtId="0" fontId="55" fillId="0" borderId="0" xfId="10" applyFont="1" applyAlignment="1">
      <alignment vertical="top"/>
    </xf>
    <xf numFmtId="201" fontId="38" fillId="0" borderId="0" xfId="10" applyNumberFormat="1" applyFont="1" applyAlignment="1">
      <alignment vertical="top"/>
    </xf>
    <xf numFmtId="203" fontId="38" fillId="0" borderId="0" xfId="10" applyNumberFormat="1" applyFont="1" applyAlignment="1">
      <alignment vertical="top"/>
    </xf>
    <xf numFmtId="196" fontId="38" fillId="0" borderId="0" xfId="10" applyNumberFormat="1" applyFont="1" applyAlignment="1">
      <alignment horizontal="center" vertical="top"/>
    </xf>
    <xf numFmtId="199" fontId="45" fillId="0" borderId="0" xfId="10" applyNumberFormat="1" applyFont="1" applyAlignment="1">
      <alignment vertical="top"/>
    </xf>
    <xf numFmtId="0" fontId="45" fillId="0" borderId="0" xfId="10" applyFont="1" applyAlignment="1">
      <alignment vertical="top" wrapText="1"/>
    </xf>
    <xf numFmtId="0" fontId="26" fillId="0" borderId="0" xfId="10"/>
    <xf numFmtId="0" fontId="49" fillId="0" borderId="45" xfId="10" applyFont="1" applyBorder="1" applyAlignment="1">
      <alignment vertical="top"/>
    </xf>
    <xf numFmtId="0" fontId="57" fillId="0" borderId="0" xfId="10" applyFont="1" applyAlignment="1">
      <alignment vertical="top"/>
    </xf>
    <xf numFmtId="193" fontId="49" fillId="0" borderId="0" xfId="10" applyNumberFormat="1" applyFont="1" applyAlignment="1">
      <alignment vertical="top"/>
    </xf>
    <xf numFmtId="204" fontId="46" fillId="0" borderId="0" xfId="10" applyNumberFormat="1" applyFont="1" applyAlignment="1">
      <alignment vertical="top"/>
    </xf>
    <xf numFmtId="0" fontId="49" fillId="0" borderId="40" xfId="10" applyFont="1" applyBorder="1" applyAlignment="1">
      <alignment vertical="top"/>
    </xf>
    <xf numFmtId="0" fontId="38" fillId="0" borderId="5" xfId="10" applyFont="1" applyBorder="1" applyAlignment="1">
      <alignment vertical="top"/>
    </xf>
    <xf numFmtId="0" fontId="38" fillId="0" borderId="43" xfId="10" applyFont="1" applyBorder="1" applyAlignment="1">
      <alignment vertical="top"/>
    </xf>
    <xf numFmtId="0" fontId="38" fillId="0" borderId="46" xfId="10" applyFont="1" applyBorder="1" applyAlignment="1">
      <alignment vertical="top"/>
    </xf>
    <xf numFmtId="180" fontId="38" fillId="0" borderId="47" xfId="10" applyNumberFormat="1" applyFont="1" applyBorder="1" applyAlignment="1">
      <alignment vertical="top"/>
    </xf>
    <xf numFmtId="49" fontId="38" fillId="0" borderId="0" xfId="10" applyNumberFormat="1" applyFont="1" applyAlignment="1">
      <alignment vertical="top"/>
    </xf>
    <xf numFmtId="0" fontId="38" fillId="12" borderId="41" xfId="10" applyFont="1" applyFill="1" applyBorder="1" applyAlignment="1">
      <alignment vertical="top"/>
    </xf>
    <xf numFmtId="0" fontId="38" fillId="12" borderId="3" xfId="10" applyFont="1" applyFill="1" applyBorder="1" applyAlignment="1">
      <alignment vertical="top"/>
    </xf>
    <xf numFmtId="206" fontId="38" fillId="12" borderId="3" xfId="10" applyNumberFormat="1" applyFont="1" applyFill="1" applyBorder="1" applyAlignment="1">
      <alignment vertical="top"/>
    </xf>
    <xf numFmtId="173" fontId="49" fillId="12" borderId="42" xfId="11" applyNumberFormat="1" applyFont="1" applyFill="1" applyBorder="1" applyAlignment="1">
      <alignment vertical="top"/>
    </xf>
    <xf numFmtId="196" fontId="56" fillId="0" borderId="0" xfId="10" applyNumberFormat="1" applyFont="1" applyAlignment="1">
      <alignment vertical="top"/>
    </xf>
    <xf numFmtId="0" fontId="26" fillId="0" borderId="0" xfId="10" applyAlignment="1">
      <alignment vertical="top" wrapText="1"/>
    </xf>
    <xf numFmtId="0" fontId="58" fillId="0" borderId="0" xfId="10" applyFont="1" applyAlignment="1">
      <alignment vertical="top"/>
    </xf>
    <xf numFmtId="3" fontId="38" fillId="0" borderId="0" xfId="10" applyNumberFormat="1" applyFont="1" applyAlignment="1">
      <alignment vertical="top"/>
    </xf>
    <xf numFmtId="200" fontId="38" fillId="0" borderId="0" xfId="10" applyNumberFormat="1" applyFont="1" applyAlignment="1">
      <alignment vertical="top"/>
    </xf>
    <xf numFmtId="0" fontId="48" fillId="14" borderId="9" xfId="13" applyFont="1" applyFill="1" applyBorder="1" applyAlignment="1">
      <alignment horizontal="left" wrapText="1"/>
    </xf>
    <xf numFmtId="0" fontId="48" fillId="15" borderId="9" xfId="13" applyFont="1" applyFill="1" applyBorder="1" applyAlignment="1">
      <alignment horizontal="left"/>
    </xf>
    <xf numFmtId="1" fontId="48" fillId="15" borderId="9" xfId="13" applyNumberFormat="1" applyFont="1" applyFill="1" applyBorder="1" applyAlignment="1">
      <alignment horizontal="center"/>
    </xf>
    <xf numFmtId="173" fontId="48" fillId="15" borderId="9" xfId="13" applyNumberFormat="1" applyFont="1" applyFill="1" applyBorder="1" applyAlignment="1">
      <alignment horizontal="center"/>
    </xf>
    <xf numFmtId="0" fontId="48" fillId="11" borderId="9" xfId="13" applyFont="1" applyFill="1" applyBorder="1" applyAlignment="1">
      <alignment horizontal="left"/>
    </xf>
    <xf numFmtId="1" fontId="48" fillId="11" borderId="9" xfId="13" applyNumberFormat="1" applyFont="1" applyFill="1" applyBorder="1" applyAlignment="1">
      <alignment horizontal="center"/>
    </xf>
    <xf numFmtId="173" fontId="48" fillId="11" borderId="9" xfId="13" applyNumberFormat="1" applyFont="1" applyFill="1" applyBorder="1" applyAlignment="1">
      <alignment horizontal="center"/>
    </xf>
    <xf numFmtId="0" fontId="48" fillId="7" borderId="9" xfId="13" applyFont="1" applyFill="1" applyBorder="1" applyAlignment="1">
      <alignment horizontal="left"/>
    </xf>
    <xf numFmtId="1" fontId="48" fillId="7" borderId="9" xfId="13" applyNumberFormat="1" applyFont="1" applyFill="1" applyBorder="1" applyAlignment="1">
      <alignment horizontal="center"/>
    </xf>
    <xf numFmtId="173" fontId="48" fillId="7" borderId="9" xfId="13" applyNumberFormat="1" applyFont="1" applyFill="1" applyBorder="1" applyAlignment="1">
      <alignment horizontal="center"/>
    </xf>
    <xf numFmtId="0" fontId="48" fillId="16" borderId="9" xfId="13" applyFont="1" applyFill="1" applyBorder="1" applyAlignment="1">
      <alignment horizontal="left"/>
    </xf>
    <xf numFmtId="1" fontId="48" fillId="16" borderId="9" xfId="13" applyNumberFormat="1" applyFont="1" applyFill="1" applyBorder="1" applyAlignment="1">
      <alignment horizontal="center"/>
    </xf>
    <xf numFmtId="173" fontId="48" fillId="16" borderId="9" xfId="13" applyNumberFormat="1" applyFont="1" applyFill="1" applyBorder="1" applyAlignment="1">
      <alignment horizontal="center"/>
    </xf>
    <xf numFmtId="0" fontId="48" fillId="15" borderId="9" xfId="13" applyFont="1" applyFill="1" applyBorder="1" applyAlignment="1">
      <alignment horizontal="center"/>
    </xf>
    <xf numFmtId="0" fontId="48" fillId="16" borderId="21" xfId="13" applyFont="1" applyFill="1" applyBorder="1" applyAlignment="1">
      <alignment horizontal="left"/>
    </xf>
    <xf numFmtId="1" fontId="48" fillId="16" borderId="21" xfId="13" applyNumberFormat="1" applyFont="1" applyFill="1" applyBorder="1" applyAlignment="1">
      <alignment horizontal="center"/>
    </xf>
    <xf numFmtId="173" fontId="48" fillId="16" borderId="21" xfId="13" applyNumberFormat="1" applyFont="1" applyFill="1" applyBorder="1" applyAlignment="1">
      <alignment horizontal="center"/>
    </xf>
    <xf numFmtId="0" fontId="48" fillId="15" borderId="48" xfId="13" applyFont="1" applyFill="1" applyBorder="1" applyAlignment="1">
      <alignment horizontal="left"/>
    </xf>
    <xf numFmtId="1" fontId="48" fillId="15" borderId="48" xfId="13" applyNumberFormat="1" applyFont="1" applyFill="1" applyBorder="1" applyAlignment="1">
      <alignment horizontal="center"/>
    </xf>
    <xf numFmtId="173" fontId="48" fillId="15" borderId="48" xfId="13" applyNumberFormat="1" applyFont="1" applyFill="1" applyBorder="1" applyAlignment="1">
      <alignment horizontal="center"/>
    </xf>
    <xf numFmtId="1" fontId="48" fillId="15" borderId="15" xfId="13" applyNumberFormat="1" applyFont="1" applyFill="1" applyBorder="1" applyAlignment="1">
      <alignment horizontal="center"/>
    </xf>
    <xf numFmtId="1" fontId="48" fillId="7" borderId="15" xfId="13" applyNumberFormat="1" applyFont="1" applyFill="1" applyBorder="1" applyAlignment="1">
      <alignment horizontal="center"/>
    </xf>
    <xf numFmtId="0" fontId="48" fillId="7" borderId="48" xfId="13" applyFont="1" applyFill="1" applyBorder="1" applyAlignment="1">
      <alignment horizontal="left"/>
    </xf>
    <xf numFmtId="1" fontId="48" fillId="7" borderId="48" xfId="13" applyNumberFormat="1" applyFont="1" applyFill="1" applyBorder="1" applyAlignment="1">
      <alignment horizontal="center"/>
    </xf>
    <xf numFmtId="173" fontId="48" fillId="7" borderId="48" xfId="13" applyNumberFormat="1" applyFont="1" applyFill="1" applyBorder="1" applyAlignment="1">
      <alignment horizontal="center"/>
    </xf>
    <xf numFmtId="0" fontId="48" fillId="15" borderId="49" xfId="13" applyFont="1" applyFill="1" applyBorder="1" applyAlignment="1">
      <alignment horizontal="left"/>
    </xf>
    <xf numFmtId="1" fontId="48" fillId="15" borderId="49" xfId="13" applyNumberFormat="1" applyFont="1" applyFill="1" applyBorder="1" applyAlignment="1">
      <alignment horizontal="center"/>
    </xf>
    <xf numFmtId="173" fontId="48" fillId="15" borderId="15" xfId="13" applyNumberFormat="1" applyFont="1" applyFill="1" applyBorder="1" applyAlignment="1">
      <alignment horizontal="center"/>
    </xf>
    <xf numFmtId="0" fontId="48" fillId="13" borderId="9" xfId="13" applyFont="1" applyFill="1" applyBorder="1" applyAlignment="1">
      <alignment horizontal="left"/>
    </xf>
    <xf numFmtId="1" fontId="48" fillId="13" borderId="9" xfId="13" applyNumberFormat="1" applyFont="1" applyFill="1" applyBorder="1" applyAlignment="1">
      <alignment horizontal="center"/>
    </xf>
    <xf numFmtId="173" fontId="48" fillId="13" borderId="9" xfId="13" applyNumberFormat="1" applyFont="1" applyFill="1" applyBorder="1" applyAlignment="1">
      <alignment horizontal="center"/>
    </xf>
    <xf numFmtId="0" fontId="48" fillId="15" borderId="18" xfId="13" applyFont="1" applyFill="1" applyBorder="1" applyAlignment="1">
      <alignment horizontal="left"/>
    </xf>
    <xf numFmtId="0" fontId="48" fillId="15" borderId="15" xfId="13" applyFont="1" applyFill="1" applyBorder="1" applyAlignment="1">
      <alignment horizontal="left"/>
    </xf>
    <xf numFmtId="1" fontId="48" fillId="15" borderId="18" xfId="13" applyNumberFormat="1" applyFont="1" applyFill="1" applyBorder="1" applyAlignment="1">
      <alignment horizontal="center"/>
    </xf>
    <xf numFmtId="173" fontId="48" fillId="15" borderId="18" xfId="13" applyNumberFormat="1" applyFont="1" applyFill="1" applyBorder="1" applyAlignment="1">
      <alignment horizontal="center"/>
    </xf>
    <xf numFmtId="1" fontId="48" fillId="15" borderId="0" xfId="13" applyNumberFormat="1" applyFont="1" applyFill="1" applyAlignment="1">
      <alignment horizontal="center"/>
    </xf>
    <xf numFmtId="0" fontId="48" fillId="15" borderId="49" xfId="13" applyFont="1" applyFill="1" applyBorder="1" applyAlignment="1">
      <alignment horizontal="center"/>
    </xf>
    <xf numFmtId="173" fontId="48" fillId="15" borderId="49" xfId="13" applyNumberFormat="1" applyFont="1" applyFill="1" applyBorder="1" applyAlignment="1">
      <alignment horizontal="center"/>
    </xf>
    <xf numFmtId="0" fontId="48" fillId="7" borderId="9" xfId="13" applyFont="1" applyFill="1" applyBorder="1" applyAlignment="1">
      <alignment horizontal="center"/>
    </xf>
    <xf numFmtId="0" fontId="38" fillId="7" borderId="0" xfId="2" applyFont="1" applyFill="1" applyAlignment="1">
      <alignment vertical="top"/>
    </xf>
    <xf numFmtId="0" fontId="48" fillId="0" borderId="0" xfId="13" applyFont="1"/>
    <xf numFmtId="192" fontId="48" fillId="15" borderId="9" xfId="13" applyNumberFormat="1" applyFont="1" applyFill="1" applyBorder="1" applyAlignment="1">
      <alignment horizontal="center"/>
    </xf>
    <xf numFmtId="173" fontId="38" fillId="0" borderId="0" xfId="2" applyNumberFormat="1" applyFont="1" applyAlignment="1">
      <alignment vertical="top"/>
    </xf>
    <xf numFmtId="1" fontId="38" fillId="0" borderId="0" xfId="2" applyNumberFormat="1" applyFont="1" applyAlignment="1">
      <alignment vertical="top"/>
    </xf>
    <xf numFmtId="0" fontId="48" fillId="15" borderId="15" xfId="13" applyFont="1" applyFill="1" applyBorder="1" applyAlignment="1">
      <alignment horizontal="center"/>
    </xf>
    <xf numFmtId="0" fontId="38" fillId="0" borderId="0" xfId="10" applyFont="1" applyBorder="1" applyAlignment="1">
      <alignment vertical="top"/>
    </xf>
    <xf numFmtId="0" fontId="38" fillId="0" borderId="0" xfId="10" applyFont="1" applyFill="1" applyBorder="1" applyAlignment="1">
      <alignment vertical="top"/>
    </xf>
    <xf numFmtId="196" fontId="38" fillId="0" borderId="0" xfId="10" applyNumberFormat="1" applyFont="1" applyBorder="1" applyAlignment="1">
      <alignment vertical="top"/>
    </xf>
    <xf numFmtId="173" fontId="38" fillId="0" borderId="0" xfId="10" applyNumberFormat="1" applyFont="1" applyBorder="1" applyAlignment="1">
      <alignment vertical="top"/>
    </xf>
    <xf numFmtId="190" fontId="38" fillId="0" borderId="0" xfId="10" applyNumberFormat="1" applyFont="1" applyBorder="1" applyAlignment="1">
      <alignment vertical="top"/>
    </xf>
    <xf numFmtId="194" fontId="51" fillId="0" borderId="0" xfId="10" applyNumberFormat="1" applyFont="1" applyBorder="1" applyAlignment="1">
      <alignment vertical="top"/>
    </xf>
    <xf numFmtId="0" fontId="38" fillId="0" borderId="0" xfId="10" applyFont="1" applyBorder="1" applyAlignment="1">
      <alignment horizontal="left" vertical="center" wrapText="1"/>
    </xf>
    <xf numFmtId="194" fontId="45" fillId="0" borderId="0" xfId="10" applyNumberFormat="1" applyFont="1" applyBorder="1" applyAlignment="1">
      <alignment vertical="top"/>
    </xf>
    <xf numFmtId="190" fontId="50" fillId="0" borderId="0" xfId="10" applyNumberFormat="1" applyFont="1" applyBorder="1" applyAlignment="1">
      <alignment vertical="top"/>
    </xf>
    <xf numFmtId="0" fontId="1" fillId="8" borderId="0" xfId="0" applyFont="1" applyFill="1"/>
    <xf numFmtId="0" fontId="26" fillId="0" borderId="0" xfId="10" applyBorder="1" applyAlignment="1">
      <alignment vertical="top"/>
    </xf>
    <xf numFmtId="0" fontId="9" fillId="0" borderId="0" xfId="0" applyFont="1" applyAlignment="1">
      <alignment horizontal="left"/>
    </xf>
    <xf numFmtId="0" fontId="8" fillId="0" borderId="0" xfId="0" applyFont="1" applyAlignment="1">
      <alignment horizontal="left"/>
    </xf>
    <xf numFmtId="0" fontId="8" fillId="0" borderId="0" xfId="0" applyFont="1" applyAlignment="1">
      <alignment vertical="top"/>
    </xf>
    <xf numFmtId="0" fontId="8" fillId="0" borderId="0" xfId="0" applyFont="1"/>
    <xf numFmtId="0" fontId="28" fillId="0" borderId="0" xfId="0" applyFont="1"/>
    <xf numFmtId="0" fontId="62" fillId="0" borderId="0" xfId="5" quotePrefix="1" applyFont="1"/>
    <xf numFmtId="0" fontId="24" fillId="0" borderId="0" xfId="0" applyFont="1"/>
    <xf numFmtId="0" fontId="8" fillId="0" borderId="0" xfId="5" applyFont="1"/>
    <xf numFmtId="0" fontId="9" fillId="0" borderId="0" xfId="5" applyFont="1"/>
    <xf numFmtId="207" fontId="38" fillId="0" borderId="0" xfId="10" applyNumberFormat="1" applyFont="1" applyAlignment="1">
      <alignment vertical="top"/>
    </xf>
    <xf numFmtId="0" fontId="38" fillId="0" borderId="0" xfId="10" applyFont="1" applyFill="1" applyAlignment="1">
      <alignment vertical="top"/>
    </xf>
    <xf numFmtId="205" fontId="43" fillId="0" borderId="0" xfId="10" applyNumberFormat="1" applyFont="1" applyFill="1"/>
    <xf numFmtId="9" fontId="38" fillId="0" borderId="0" xfId="11" applyFont="1" applyFill="1" applyAlignment="1">
      <alignment vertical="top"/>
    </xf>
    <xf numFmtId="0" fontId="48" fillId="14" borderId="10" xfId="13" applyFont="1" applyFill="1" applyBorder="1" applyAlignment="1">
      <alignment horizontal="left" wrapText="1"/>
    </xf>
    <xf numFmtId="9" fontId="48" fillId="15" borderId="10" xfId="13" applyNumberFormat="1" applyFont="1" applyFill="1" applyBorder="1" applyAlignment="1">
      <alignment horizontal="center"/>
    </xf>
    <xf numFmtId="9" fontId="48" fillId="11" borderId="10" xfId="13" applyNumberFormat="1" applyFont="1" applyFill="1" applyBorder="1" applyAlignment="1">
      <alignment horizontal="center"/>
    </xf>
    <xf numFmtId="173" fontId="48" fillId="7" borderId="10" xfId="13" applyNumberFormat="1" applyFont="1" applyFill="1" applyBorder="1" applyAlignment="1">
      <alignment horizontal="center"/>
    </xf>
    <xf numFmtId="9" fontId="48" fillId="16" borderId="10" xfId="13" applyNumberFormat="1" applyFont="1" applyFill="1" applyBorder="1" applyAlignment="1">
      <alignment horizontal="center"/>
    </xf>
    <xf numFmtId="9" fontId="48" fillId="13" borderId="10" xfId="13" applyNumberFormat="1" applyFont="1" applyFill="1" applyBorder="1" applyAlignment="1">
      <alignment horizontal="center"/>
    </xf>
    <xf numFmtId="9" fontId="48" fillId="16" borderId="16" xfId="13" applyNumberFormat="1" applyFont="1" applyFill="1" applyBorder="1" applyAlignment="1">
      <alignment horizontal="center"/>
    </xf>
    <xf numFmtId="9" fontId="48" fillId="15" borderId="51" xfId="13" applyNumberFormat="1" applyFont="1" applyFill="1" applyBorder="1" applyAlignment="1">
      <alignment horizontal="center"/>
    </xf>
    <xf numFmtId="173" fontId="48" fillId="16" borderId="10" xfId="13" applyNumberFormat="1" applyFont="1" applyFill="1" applyBorder="1" applyAlignment="1">
      <alignment horizontal="center"/>
    </xf>
    <xf numFmtId="173" fontId="48" fillId="7" borderId="51" xfId="13" applyNumberFormat="1" applyFont="1" applyFill="1" applyBorder="1" applyAlignment="1">
      <alignment horizontal="center"/>
    </xf>
    <xf numFmtId="9" fontId="48" fillId="15" borderId="19" xfId="13" applyNumberFormat="1" applyFont="1" applyFill="1" applyBorder="1" applyAlignment="1">
      <alignment horizontal="center"/>
    </xf>
    <xf numFmtId="9" fontId="48" fillId="15" borderId="52" xfId="13" applyNumberFormat="1" applyFont="1" applyFill="1" applyBorder="1" applyAlignment="1">
      <alignment horizontal="center"/>
    </xf>
    <xf numFmtId="0" fontId="48" fillId="15" borderId="10" xfId="13" applyFont="1" applyFill="1" applyBorder="1" applyAlignment="1">
      <alignment horizontal="center"/>
    </xf>
    <xf numFmtId="1" fontId="47" fillId="15" borderId="10" xfId="13" applyNumberFormat="1" applyFont="1" applyFill="1" applyBorder="1" applyAlignment="1">
      <alignment horizontal="left"/>
    </xf>
    <xf numFmtId="1" fontId="48" fillId="15" borderId="10" xfId="13" applyNumberFormat="1" applyFont="1" applyFill="1" applyBorder="1" applyAlignment="1">
      <alignment horizontal="center"/>
    </xf>
    <xf numFmtId="1" fontId="47" fillId="15" borderId="10" xfId="13" applyNumberFormat="1" applyFont="1" applyFill="1" applyBorder="1" applyAlignment="1">
      <alignment horizontal="center"/>
    </xf>
    <xf numFmtId="9" fontId="48" fillId="15" borderId="13" xfId="13" applyNumberFormat="1" applyFont="1" applyFill="1" applyBorder="1" applyAlignment="1">
      <alignment horizontal="center"/>
    </xf>
    <xf numFmtId="0" fontId="48" fillId="14" borderId="12" xfId="13" applyFont="1" applyFill="1" applyBorder="1" applyAlignment="1">
      <alignment horizontal="left" wrapText="1"/>
    </xf>
    <xf numFmtId="9" fontId="48" fillId="15" borderId="12" xfId="13" applyNumberFormat="1" applyFont="1" applyFill="1" applyBorder="1" applyAlignment="1">
      <alignment horizontal="center"/>
    </xf>
    <xf numFmtId="9" fontId="48" fillId="11" borderId="12" xfId="13" applyNumberFormat="1" applyFont="1" applyFill="1" applyBorder="1" applyAlignment="1">
      <alignment horizontal="center"/>
    </xf>
    <xf numFmtId="173" fontId="48" fillId="7" borderId="12" xfId="13" applyNumberFormat="1" applyFont="1" applyFill="1" applyBorder="1" applyAlignment="1">
      <alignment horizontal="center"/>
    </xf>
    <xf numFmtId="9" fontId="48" fillId="16" borderId="12" xfId="13" applyNumberFormat="1" applyFont="1" applyFill="1" applyBorder="1" applyAlignment="1">
      <alignment horizontal="center"/>
    </xf>
    <xf numFmtId="9" fontId="48" fillId="15" borderId="29" xfId="13" applyNumberFormat="1" applyFont="1" applyFill="1" applyBorder="1" applyAlignment="1">
      <alignment horizontal="center"/>
    </xf>
    <xf numFmtId="9" fontId="48" fillId="15" borderId="14" xfId="13" applyNumberFormat="1" applyFont="1" applyFill="1" applyBorder="1" applyAlignment="1">
      <alignment horizontal="center"/>
    </xf>
    <xf numFmtId="173" fontId="48" fillId="7" borderId="29" xfId="13" applyNumberFormat="1" applyFont="1" applyFill="1" applyBorder="1" applyAlignment="1">
      <alignment horizontal="center"/>
    </xf>
    <xf numFmtId="9" fontId="48" fillId="13" borderId="12" xfId="13" applyNumberFormat="1" applyFont="1" applyFill="1" applyBorder="1" applyAlignment="1">
      <alignment horizontal="center"/>
    </xf>
    <xf numFmtId="9" fontId="48" fillId="15" borderId="20" xfId="13" applyNumberFormat="1" applyFont="1" applyFill="1" applyBorder="1" applyAlignment="1">
      <alignment horizontal="center"/>
    </xf>
    <xf numFmtId="9" fontId="48" fillId="15" borderId="53" xfId="13" applyNumberFormat="1" applyFont="1" applyFill="1" applyBorder="1" applyAlignment="1">
      <alignment horizontal="center"/>
    </xf>
    <xf numFmtId="0" fontId="51" fillId="0" borderId="0" xfId="10" applyFont="1" applyBorder="1" applyAlignment="1">
      <alignment vertical="top"/>
    </xf>
    <xf numFmtId="0" fontId="52" fillId="0" borderId="0" xfId="10" applyFont="1" applyBorder="1" applyAlignment="1">
      <alignment vertical="top"/>
    </xf>
    <xf numFmtId="0" fontId="48" fillId="14" borderId="0" xfId="13" applyFont="1" applyFill="1" applyBorder="1" applyAlignment="1">
      <alignment horizontal="left" wrapText="1"/>
    </xf>
    <xf numFmtId="1" fontId="48" fillId="15" borderId="0" xfId="13" applyNumberFormat="1" applyFont="1" applyFill="1" applyBorder="1" applyAlignment="1">
      <alignment horizontal="center"/>
    </xf>
    <xf numFmtId="1" fontId="48" fillId="11" borderId="0" xfId="13" applyNumberFormat="1" applyFont="1" applyFill="1" applyBorder="1" applyAlignment="1">
      <alignment horizontal="center"/>
    </xf>
    <xf numFmtId="1" fontId="48" fillId="7" borderId="0" xfId="13" applyNumberFormat="1" applyFont="1" applyFill="1" applyBorder="1" applyAlignment="1">
      <alignment horizontal="center"/>
    </xf>
    <xf numFmtId="1" fontId="48" fillId="16" borderId="0" xfId="13" applyNumberFormat="1" applyFont="1" applyFill="1" applyBorder="1" applyAlignment="1">
      <alignment horizontal="center"/>
    </xf>
    <xf numFmtId="0" fontId="48" fillId="15" borderId="0" xfId="13" applyFont="1" applyFill="1" applyBorder="1" applyAlignment="1">
      <alignment horizontal="center"/>
    </xf>
    <xf numFmtId="0" fontId="48" fillId="16" borderId="0" xfId="13" applyFont="1" applyFill="1" applyBorder="1" applyAlignment="1">
      <alignment horizontal="center"/>
    </xf>
    <xf numFmtId="1" fontId="48" fillId="13" borderId="0" xfId="13" applyNumberFormat="1" applyFont="1" applyFill="1" applyBorder="1" applyAlignment="1">
      <alignment horizontal="center"/>
    </xf>
    <xf numFmtId="0" fontId="48" fillId="7" borderId="0" xfId="13" applyFont="1" applyFill="1" applyBorder="1" applyAlignment="1">
      <alignment horizontal="center"/>
    </xf>
    <xf numFmtId="173" fontId="48" fillId="7" borderId="0" xfId="13" applyNumberFormat="1" applyFont="1" applyFill="1" applyBorder="1" applyAlignment="1">
      <alignment horizontal="center"/>
    </xf>
    <xf numFmtId="0" fontId="48" fillId="0" borderId="0" xfId="13" applyFont="1" applyBorder="1"/>
    <xf numFmtId="0" fontId="38" fillId="0" borderId="0" xfId="2" applyFont="1" applyBorder="1" applyAlignment="1">
      <alignment vertical="top"/>
    </xf>
    <xf numFmtId="0" fontId="0" fillId="0" borderId="0" xfId="0" applyBorder="1"/>
    <xf numFmtId="204" fontId="38" fillId="0" borderId="0" xfId="10" applyNumberFormat="1" applyFont="1" applyFill="1" applyAlignment="1" applyProtection="1">
      <alignment vertical="top"/>
      <protection locked="0"/>
    </xf>
    <xf numFmtId="10" fontId="38" fillId="0" borderId="0" xfId="11" applyNumberFormat="1" applyFont="1" applyFill="1" applyBorder="1" applyAlignment="1">
      <alignment vertical="top"/>
    </xf>
    <xf numFmtId="0" fontId="51" fillId="0" borderId="0" xfId="10" applyFont="1" applyFill="1" applyBorder="1" applyAlignment="1">
      <alignment vertical="top"/>
    </xf>
    <xf numFmtId="196" fontId="38" fillId="0" borderId="0" xfId="10" applyNumberFormat="1" applyFont="1" applyFill="1" applyAlignment="1">
      <alignment horizontal="center" vertical="top"/>
    </xf>
    <xf numFmtId="0" fontId="9" fillId="0" borderId="0" xfId="0" applyFont="1"/>
    <xf numFmtId="0" fontId="30" fillId="0" borderId="0" xfId="0" applyFont="1"/>
    <xf numFmtId="0" fontId="8" fillId="0" borderId="5" xfId="0" applyFont="1" applyBorder="1" applyAlignment="1">
      <alignment vertical="top"/>
    </xf>
    <xf numFmtId="0" fontId="30" fillId="0" borderId="0" xfId="0" applyFont="1" applyAlignment="1">
      <alignment horizontal="right"/>
    </xf>
    <xf numFmtId="0" fontId="30" fillId="0" borderId="0" xfId="0" quotePrefix="1" applyFont="1" applyAlignment="1">
      <alignment horizontal="right"/>
    </xf>
    <xf numFmtId="178" fontId="30" fillId="0" borderId="0" xfId="0" applyNumberFormat="1" applyFont="1"/>
    <xf numFmtId="0" fontId="63" fillId="0" borderId="0" xfId="0" applyFont="1"/>
    <xf numFmtId="0" fontId="64" fillId="0" borderId="0" xfId="0" applyFont="1"/>
    <xf numFmtId="0" fontId="11" fillId="0" borderId="0" xfId="0" applyFont="1" applyFill="1" applyAlignment="1" applyProtection="1">
      <alignment horizontal="left" vertical="top"/>
    </xf>
    <xf numFmtId="0" fontId="49" fillId="0" borderId="45" xfId="10" applyFont="1" applyFill="1" applyBorder="1" applyAlignment="1">
      <alignment vertical="top"/>
    </xf>
    <xf numFmtId="190" fontId="49" fillId="0" borderId="45" xfId="10" applyNumberFormat="1" applyFont="1" applyFill="1" applyBorder="1" applyAlignment="1">
      <alignment vertical="top"/>
    </xf>
    <xf numFmtId="9" fontId="38" fillId="0" borderId="0" xfId="10" applyNumberFormat="1" applyFont="1" applyFill="1" applyAlignment="1">
      <alignment horizontal="center" vertical="top"/>
    </xf>
    <xf numFmtId="191" fontId="38" fillId="0" borderId="0" xfId="10" applyNumberFormat="1" applyFont="1" applyBorder="1" applyAlignment="1">
      <alignment vertical="center"/>
    </xf>
    <xf numFmtId="173" fontId="45" fillId="0" borderId="0" xfId="11" applyNumberFormat="1" applyFont="1" applyAlignment="1">
      <alignment horizontal="center" vertical="center"/>
    </xf>
    <xf numFmtId="194" fontId="45" fillId="0" borderId="0" xfId="10" applyNumberFormat="1" applyFont="1" applyAlignment="1">
      <alignment horizontal="center" vertical="center"/>
    </xf>
    <xf numFmtId="10" fontId="38" fillId="0" borderId="0" xfId="11" applyNumberFormat="1" applyFont="1" applyFill="1" applyAlignment="1" applyProtection="1">
      <alignment vertical="top"/>
      <protection locked="0"/>
    </xf>
    <xf numFmtId="209" fontId="38" fillId="0" borderId="0" xfId="10" applyNumberFormat="1" applyFont="1" applyFill="1" applyAlignment="1" applyProtection="1">
      <alignment vertical="top"/>
      <protection locked="0"/>
    </xf>
    <xf numFmtId="173" fontId="38" fillId="0" borderId="0" xfId="1" applyNumberFormat="1" applyFont="1" applyAlignment="1">
      <alignment vertical="top"/>
    </xf>
    <xf numFmtId="210" fontId="38" fillId="0" borderId="0" xfId="10" applyNumberFormat="1" applyFont="1" applyAlignment="1">
      <alignment vertical="top"/>
    </xf>
    <xf numFmtId="168" fontId="38" fillId="0" borderId="0" xfId="10" applyNumberFormat="1" applyFont="1" applyAlignment="1">
      <alignment vertical="top"/>
    </xf>
    <xf numFmtId="173" fontId="11" fillId="0" borderId="4" xfId="1" applyNumberFormat="1" applyFont="1" applyFill="1" applyBorder="1" applyAlignment="1" applyProtection="1">
      <alignment vertical="top"/>
      <protection locked="0"/>
    </xf>
    <xf numFmtId="0" fontId="15" fillId="0" borderId="0" xfId="0" applyFont="1"/>
    <xf numFmtId="0" fontId="60" fillId="0" borderId="0" xfId="0" applyFont="1"/>
    <xf numFmtId="0" fontId="11" fillId="0" borderId="0" xfId="0" applyFont="1" applyFill="1" applyAlignment="1" applyProtection="1">
      <alignment vertical="center"/>
    </xf>
    <xf numFmtId="0" fontId="10" fillId="0" borderId="9" xfId="2" applyFont="1" applyFill="1" applyBorder="1" applyProtection="1"/>
    <xf numFmtId="0" fontId="11" fillId="0" borderId="0" xfId="0" applyFont="1" applyFill="1" applyProtection="1"/>
    <xf numFmtId="0" fontId="10" fillId="0" borderId="9" xfId="2" applyFont="1" applyFill="1" applyBorder="1" applyAlignment="1" applyProtection="1">
      <alignment horizontal="center" vertical="top"/>
    </xf>
    <xf numFmtId="0" fontId="10" fillId="0" borderId="9" xfId="2" applyFont="1" applyFill="1" applyBorder="1" applyAlignment="1" applyProtection="1">
      <alignment vertical="top" wrapText="1"/>
    </xf>
    <xf numFmtId="173" fontId="11" fillId="0" borderId="9" xfId="3" applyNumberFormat="1" applyFont="1" applyFill="1" applyBorder="1" applyAlignment="1" applyProtection="1">
      <alignment vertical="top"/>
    </xf>
    <xf numFmtId="174" fontId="4" fillId="0" borderId="9" xfId="2" applyNumberFormat="1" applyFont="1" applyFill="1" applyBorder="1" applyAlignment="1" applyProtection="1">
      <alignment vertical="top"/>
    </xf>
    <xf numFmtId="0" fontId="11" fillId="0" borderId="0" xfId="0" applyFont="1" applyProtection="1"/>
    <xf numFmtId="173" fontId="11" fillId="0" borderId="9" xfId="0" applyNumberFormat="1" applyFont="1" applyFill="1" applyBorder="1" applyAlignment="1" applyProtection="1">
      <alignment vertical="center"/>
    </xf>
    <xf numFmtId="174" fontId="11" fillId="0" borderId="9" xfId="0" applyNumberFormat="1" applyFont="1" applyFill="1" applyBorder="1" applyAlignment="1" applyProtection="1">
      <alignment vertical="center"/>
    </xf>
    <xf numFmtId="175" fontId="11" fillId="0" borderId="9" xfId="0" applyNumberFormat="1" applyFont="1" applyFill="1" applyBorder="1" applyAlignment="1" applyProtection="1">
      <alignment vertical="center"/>
    </xf>
    <xf numFmtId="176" fontId="11" fillId="0" borderId="9" xfId="0" applyNumberFormat="1" applyFont="1" applyFill="1" applyBorder="1" applyAlignment="1" applyProtection="1">
      <alignment vertical="center"/>
    </xf>
    <xf numFmtId="3" fontId="28" fillId="0" borderId="19" xfId="6" applyNumberFormat="1" applyFont="1" applyBorder="1" applyAlignment="1" applyProtection="1">
      <alignment horizontal="center" vertical="center"/>
    </xf>
    <xf numFmtId="0" fontId="65" fillId="0" borderId="0" xfId="0" applyFont="1" applyAlignment="1" applyProtection="1">
      <alignment horizontal="left" vertical="top"/>
    </xf>
    <xf numFmtId="0" fontId="66" fillId="0" borderId="0" xfId="0" applyFont="1" applyAlignment="1" applyProtection="1">
      <alignment horizontal="left" vertical="top" wrapText="1"/>
    </xf>
    <xf numFmtId="165" fontId="11" fillId="0" borderId="4" xfId="0" applyNumberFormat="1" applyFont="1" applyFill="1" applyBorder="1" applyAlignment="1" applyProtection="1">
      <alignment vertical="top"/>
    </xf>
    <xf numFmtId="173" fontId="11" fillId="0" borderId="4" xfId="1" applyNumberFormat="1" applyFont="1" applyFill="1" applyBorder="1" applyAlignment="1" applyProtection="1">
      <alignment vertical="top"/>
    </xf>
    <xf numFmtId="0" fontId="11" fillId="0" borderId="6" xfId="0" applyFont="1" applyBorder="1" applyAlignment="1">
      <alignment horizontal="left" vertical="top"/>
    </xf>
    <xf numFmtId="0" fontId="8" fillId="0" borderId="0" xfId="0" applyFont="1" applyBorder="1"/>
    <xf numFmtId="0" fontId="60" fillId="0" borderId="0" xfId="0" applyFont="1" applyBorder="1" applyAlignment="1" applyProtection="1">
      <alignment horizontal="left" vertical="top"/>
    </xf>
    <xf numFmtId="0" fontId="65" fillId="0" borderId="0" xfId="0" applyFont="1" applyAlignment="1">
      <alignment horizontal="left" vertical="top"/>
    </xf>
    <xf numFmtId="0" fontId="28" fillId="0" borderId="0" xfId="6" applyFont="1" applyFill="1" applyBorder="1" applyAlignment="1">
      <alignment horizontal="center"/>
    </xf>
    <xf numFmtId="0" fontId="30" fillId="0" borderId="0" xfId="6" applyBorder="1"/>
    <xf numFmtId="0" fontId="30" fillId="0" borderId="0" xfId="6" applyBorder="1" applyAlignment="1">
      <alignment horizontal="left"/>
    </xf>
    <xf numFmtId="3" fontId="8" fillId="0" borderId="9" xfId="4" applyNumberFormat="1" applyFont="1" applyFill="1" applyBorder="1" applyAlignment="1" applyProtection="1">
      <alignment horizontal="right" vertical="center"/>
      <protection locked="0"/>
    </xf>
    <xf numFmtId="0" fontId="30" fillId="0" borderId="0" xfId="0" applyFont="1" applyAlignment="1">
      <alignment vertical="center"/>
    </xf>
    <xf numFmtId="2" fontId="30" fillId="0" borderId="9" xfId="0" applyNumberFormat="1" applyFont="1" applyBorder="1" applyAlignment="1" applyProtection="1">
      <alignment horizontal="right" vertical="center"/>
      <protection locked="0"/>
    </xf>
    <xf numFmtId="0" fontId="24" fillId="0" borderId="0" xfId="0" applyFont="1" applyAlignment="1">
      <alignment vertical="center"/>
    </xf>
    <xf numFmtId="0" fontId="8" fillId="0" borderId="0" xfId="0" applyFont="1" applyAlignment="1">
      <alignment vertical="center"/>
    </xf>
    <xf numFmtId="4" fontId="30" fillId="0" borderId="9" xfId="0" applyNumberFormat="1" applyFont="1" applyBorder="1" applyAlignment="1" applyProtection="1">
      <alignment horizontal="right" vertical="center"/>
      <protection locked="0"/>
    </xf>
    <xf numFmtId="0" fontId="60" fillId="0" borderId="0" xfId="0" applyFont="1" applyFill="1"/>
    <xf numFmtId="0" fontId="8" fillId="0" borderId="0" xfId="0" applyFont="1" applyFill="1"/>
    <xf numFmtId="0" fontId="8" fillId="0" borderId="6" xfId="0" applyFont="1" applyFill="1" applyBorder="1"/>
    <xf numFmtId="0" fontId="5" fillId="0" borderId="0" xfId="6" applyFont="1" applyAlignment="1">
      <alignment horizontal="left" vertical="center" wrapText="1"/>
    </xf>
    <xf numFmtId="0" fontId="8" fillId="4" borderId="12" xfId="0" applyFont="1" applyFill="1" applyBorder="1" applyAlignment="1">
      <alignment horizontal="left" vertical="center"/>
    </xf>
    <xf numFmtId="211" fontId="11" fillId="0" borderId="9" xfId="4" applyNumberFormat="1" applyFont="1" applyFill="1" applyBorder="1" applyAlignment="1" applyProtection="1">
      <alignment vertical="center"/>
      <protection locked="0"/>
    </xf>
    <xf numFmtId="197" fontId="28" fillId="0" borderId="0" xfId="6" applyNumberFormat="1" applyFont="1" applyAlignment="1">
      <alignment vertical="center"/>
    </xf>
    <xf numFmtId="173" fontId="28" fillId="0" borderId="0" xfId="1" applyNumberFormat="1" applyFont="1"/>
    <xf numFmtId="0" fontId="38" fillId="0" borderId="21" xfId="10" applyFont="1" applyFill="1" applyBorder="1" applyAlignment="1">
      <alignment vertical="top"/>
    </xf>
    <xf numFmtId="197" fontId="38" fillId="8" borderId="18" xfId="10" applyNumberFormat="1" applyFont="1" applyFill="1" applyBorder="1" applyAlignment="1">
      <alignment vertical="top" wrapText="1"/>
    </xf>
    <xf numFmtId="197" fontId="38" fillId="8" borderId="15" xfId="10" applyNumberFormat="1" applyFont="1" applyFill="1" applyBorder="1" applyAlignment="1">
      <alignment vertical="top" wrapText="1"/>
    </xf>
    <xf numFmtId="0" fontId="38" fillId="0" borderId="21" xfId="10" applyFont="1" applyBorder="1" applyAlignment="1">
      <alignment vertical="top"/>
    </xf>
    <xf numFmtId="173" fontId="38" fillId="12" borderId="18" xfId="11" applyNumberFormat="1" applyFont="1" applyFill="1" applyBorder="1" applyAlignment="1" applyProtection="1">
      <alignment vertical="top"/>
      <protection locked="0"/>
    </xf>
    <xf numFmtId="173" fontId="38" fillId="12" borderId="15" xfId="11" applyNumberFormat="1" applyFont="1" applyFill="1" applyBorder="1" applyAlignment="1" applyProtection="1">
      <alignment vertical="top"/>
      <protection locked="0"/>
    </xf>
    <xf numFmtId="0" fontId="28" fillId="0" borderId="9" xfId="6" applyFont="1" applyBorder="1" applyAlignment="1">
      <alignment vertical="center"/>
    </xf>
    <xf numFmtId="0" fontId="30" fillId="0" borderId="25" xfId="6" applyBorder="1" applyAlignment="1">
      <alignment horizontal="left" vertical="center"/>
    </xf>
    <xf numFmtId="0" fontId="50" fillId="0" borderId="0" xfId="10" applyFont="1" applyAlignment="1">
      <alignment horizontal="left" vertical="top"/>
    </xf>
    <xf numFmtId="196" fontId="50" fillId="0" borderId="0" xfId="10" applyNumberFormat="1" applyFont="1" applyBorder="1" applyAlignment="1">
      <alignment vertical="top"/>
    </xf>
    <xf numFmtId="0" fontId="38" fillId="0" borderId="30" xfId="10" applyFont="1" applyBorder="1" applyAlignment="1">
      <alignment vertical="top"/>
    </xf>
    <xf numFmtId="0" fontId="49" fillId="0" borderId="30" xfId="10" applyFont="1" applyBorder="1" applyAlignment="1">
      <alignment vertical="top"/>
    </xf>
    <xf numFmtId="9" fontId="38" fillId="0" borderId="30" xfId="11" applyFont="1" applyBorder="1" applyAlignment="1">
      <alignment horizontal="left" vertical="top"/>
    </xf>
    <xf numFmtId="175" fontId="11" fillId="0" borderId="9" xfId="0" applyNumberFormat="1" applyFont="1" applyFill="1" applyBorder="1" applyAlignment="1" applyProtection="1">
      <alignment horizontal="right" vertical="center"/>
    </xf>
    <xf numFmtId="176" fontId="11" fillId="0" borderId="9" xfId="0" applyNumberFormat="1" applyFont="1" applyFill="1" applyBorder="1" applyAlignment="1" applyProtection="1">
      <alignment horizontal="right" vertical="center"/>
    </xf>
    <xf numFmtId="0" fontId="30" fillId="0" borderId="0" xfId="0" quotePrefix="1" applyFont="1" applyAlignment="1">
      <alignment vertical="center"/>
    </xf>
    <xf numFmtId="4" fontId="8" fillId="0" borderId="9" xfId="4" applyNumberFormat="1" applyFont="1" applyFill="1" applyBorder="1" applyAlignment="1" applyProtection="1">
      <alignment horizontal="right" vertical="center"/>
      <protection locked="0"/>
    </xf>
    <xf numFmtId="3" fontId="8" fillId="0" borderId="9" xfId="4" applyNumberFormat="1" applyFont="1" applyFill="1" applyBorder="1" applyAlignment="1" applyProtection="1">
      <alignment horizontal="right" vertical="center"/>
    </xf>
    <xf numFmtId="173" fontId="8" fillId="0" borderId="9" xfId="4" applyNumberFormat="1" applyFont="1" applyFill="1" applyBorder="1" applyAlignment="1" applyProtection="1">
      <alignment horizontal="right" vertical="center"/>
    </xf>
    <xf numFmtId="2" fontId="30" fillId="0" borderId="9" xfId="0" applyNumberFormat="1" applyFont="1" applyFill="1" applyBorder="1" applyAlignment="1" applyProtection="1">
      <alignment horizontal="right" vertical="center"/>
      <protection locked="0"/>
    </xf>
    <xf numFmtId="177" fontId="8" fillId="0" borderId="9" xfId="0" applyNumberFormat="1" applyFont="1" applyFill="1" applyBorder="1" applyAlignment="1" applyProtection="1">
      <alignment horizontal="right" vertical="center"/>
      <protection locked="0"/>
    </xf>
    <xf numFmtId="4" fontId="30" fillId="0" borderId="9" xfId="0" applyNumberFormat="1" applyFont="1" applyFill="1" applyBorder="1" applyAlignment="1" applyProtection="1">
      <alignment horizontal="right" vertical="center"/>
      <protection locked="0"/>
    </xf>
    <xf numFmtId="166" fontId="11" fillId="0" borderId="4" xfId="0" applyNumberFormat="1" applyFont="1" applyFill="1" applyBorder="1" applyAlignment="1" applyProtection="1">
      <alignment vertical="top"/>
    </xf>
    <xf numFmtId="9" fontId="11" fillId="0" borderId="4" xfId="1" applyFont="1" applyFill="1" applyBorder="1" applyAlignment="1" applyProtection="1">
      <alignment vertical="top"/>
    </xf>
    <xf numFmtId="0" fontId="11" fillId="0" borderId="9" xfId="0" applyFont="1" applyFill="1" applyBorder="1" applyAlignment="1" applyProtection="1">
      <alignment vertical="center"/>
    </xf>
    <xf numFmtId="0" fontId="38" fillId="0" borderId="0" xfId="10" applyFont="1" applyAlignment="1">
      <alignment horizontal="left" vertical="top" wrapText="1"/>
    </xf>
    <xf numFmtId="0" fontId="43" fillId="0" borderId="50" xfId="6" applyFont="1" applyBorder="1" applyAlignment="1">
      <alignment vertical="center" wrapText="1"/>
    </xf>
    <xf numFmtId="0" fontId="9" fillId="4" borderId="10" xfId="0" applyFont="1" applyFill="1" applyBorder="1" applyAlignment="1">
      <alignment vertical="center"/>
    </xf>
    <xf numFmtId="0" fontId="9" fillId="4" borderId="11" xfId="0" applyFont="1" applyFill="1" applyBorder="1" applyAlignment="1">
      <alignment vertical="center"/>
    </xf>
    <xf numFmtId="3" fontId="8" fillId="0" borderId="19" xfId="4" applyNumberFormat="1" applyFont="1" applyFill="1" applyBorder="1" applyAlignment="1" applyProtection="1">
      <alignment horizontal="left" vertical="center"/>
      <protection locked="0"/>
    </xf>
    <xf numFmtId="0" fontId="71" fillId="0" borderId="0" xfId="0" applyFont="1"/>
    <xf numFmtId="175" fontId="11" fillId="0" borderId="21" xfId="0" applyNumberFormat="1" applyFont="1" applyFill="1" applyBorder="1" applyAlignment="1" applyProtection="1">
      <alignment horizontal="right" vertical="center"/>
    </xf>
    <xf numFmtId="176" fontId="11" fillId="0" borderId="21" xfId="0" applyNumberFormat="1" applyFont="1" applyFill="1" applyBorder="1" applyAlignment="1" applyProtection="1">
      <alignment horizontal="right" vertical="center"/>
    </xf>
    <xf numFmtId="0" fontId="13" fillId="0" borderId="56" xfId="0" applyFont="1" applyFill="1" applyBorder="1" applyAlignment="1" applyProtection="1">
      <alignment vertical="center"/>
    </xf>
    <xf numFmtId="173" fontId="13" fillId="0" borderId="56" xfId="0" applyNumberFormat="1" applyFont="1" applyFill="1" applyBorder="1" applyAlignment="1" applyProtection="1">
      <alignment vertical="center"/>
    </xf>
    <xf numFmtId="174" fontId="13" fillId="0" borderId="56" xfId="0" applyNumberFormat="1" applyFont="1" applyFill="1" applyBorder="1" applyAlignment="1" applyProtection="1">
      <alignment vertical="center"/>
    </xf>
    <xf numFmtId="173" fontId="13" fillId="0" borderId="56" xfId="1" applyNumberFormat="1" applyFont="1" applyFill="1" applyBorder="1" applyAlignment="1" applyProtection="1">
      <alignment vertical="center"/>
    </xf>
    <xf numFmtId="175" fontId="13" fillId="0" borderId="56" xfId="0" applyNumberFormat="1" applyFont="1" applyFill="1" applyBorder="1" applyAlignment="1" applyProtection="1">
      <alignment vertical="center"/>
    </xf>
    <xf numFmtId="176" fontId="13" fillId="0" borderId="56" xfId="0" applyNumberFormat="1" applyFont="1" applyFill="1" applyBorder="1" applyAlignment="1" applyProtection="1">
      <alignment vertical="center"/>
    </xf>
    <xf numFmtId="211" fontId="13" fillId="0" borderId="56" xfId="0" applyNumberFormat="1" applyFont="1" applyFill="1" applyBorder="1" applyAlignment="1" applyProtection="1">
      <alignment vertical="center"/>
    </xf>
    <xf numFmtId="0" fontId="38" fillId="0" borderId="0" xfId="10" applyFont="1" applyAlignment="1">
      <alignment vertical="top" wrapText="1"/>
    </xf>
    <xf numFmtId="0" fontId="13" fillId="0" borderId="0" xfId="0" applyFont="1" applyAlignment="1" applyProtection="1">
      <alignment horizontal="left" vertical="top"/>
    </xf>
    <xf numFmtId="0" fontId="25" fillId="0" borderId="0" xfId="10" applyFont="1" applyAlignment="1">
      <alignment vertical="top"/>
    </xf>
    <xf numFmtId="0" fontId="45" fillId="0" borderId="0" xfId="10" applyFont="1" applyAlignment="1">
      <alignment vertical="top"/>
    </xf>
    <xf numFmtId="0" fontId="45" fillId="0" borderId="0" xfId="10" applyFont="1" applyBorder="1" applyAlignment="1">
      <alignment vertical="top"/>
    </xf>
    <xf numFmtId="173" fontId="38" fillId="0" borderId="0" xfId="11" applyNumberFormat="1" applyFont="1" applyFill="1" applyAlignment="1" applyProtection="1">
      <alignment vertical="top"/>
      <protection locked="0"/>
    </xf>
    <xf numFmtId="197" fontId="38" fillId="0" borderId="0" xfId="10" applyNumberFormat="1" applyFont="1" applyFill="1" applyAlignment="1">
      <alignment vertical="top" wrapText="1"/>
    </xf>
    <xf numFmtId="197" fontId="38" fillId="0" borderId="0" xfId="10" applyNumberFormat="1" applyFont="1" applyFill="1" applyBorder="1" applyAlignment="1">
      <alignment vertical="top" wrapText="1"/>
    </xf>
    <xf numFmtId="188" fontId="38" fillId="0" borderId="0" xfId="10" applyNumberFormat="1" applyFont="1" applyAlignment="1">
      <alignment vertical="top" wrapText="1"/>
    </xf>
    <xf numFmtId="173" fontId="38" fillId="4" borderId="0" xfId="11" applyNumberFormat="1" applyFont="1" applyFill="1" applyAlignment="1" applyProtection="1">
      <alignment vertical="top"/>
      <protection locked="0"/>
    </xf>
    <xf numFmtId="173" fontId="38" fillId="4" borderId="30" xfId="11" applyNumberFormat="1" applyFont="1" applyFill="1" applyBorder="1" applyAlignment="1" applyProtection="1">
      <alignment vertical="top"/>
      <protection locked="0"/>
    </xf>
    <xf numFmtId="0" fontId="48" fillId="15" borderId="21" xfId="13" applyFont="1" applyFill="1" applyBorder="1" applyAlignment="1">
      <alignment horizontal="left"/>
    </xf>
    <xf numFmtId="9" fontId="38" fillId="0" borderId="17" xfId="10" applyNumberFormat="1" applyFont="1" applyBorder="1" applyAlignment="1">
      <alignment vertical="top"/>
    </xf>
    <xf numFmtId="197" fontId="38" fillId="0" borderId="30" xfId="10" applyNumberFormat="1" applyFont="1" applyFill="1" applyBorder="1" applyAlignment="1">
      <alignment vertical="top" wrapText="1"/>
    </xf>
    <xf numFmtId="0" fontId="38" fillId="0" borderId="0" xfId="10" applyFont="1" applyBorder="1" applyAlignment="1">
      <alignment horizontal="left" vertical="top" wrapText="1"/>
    </xf>
    <xf numFmtId="0" fontId="50" fillId="0" borderId="7" xfId="10" applyFont="1" applyBorder="1" applyAlignment="1">
      <alignment horizontal="left" vertical="top"/>
    </xf>
    <xf numFmtId="196" fontId="50" fillId="0" borderId="7" xfId="10" applyNumberFormat="1" applyFont="1" applyBorder="1" applyAlignment="1">
      <alignment vertical="top"/>
    </xf>
    <xf numFmtId="197" fontId="38" fillId="0" borderId="7" xfId="10" applyNumberFormat="1" applyFont="1" applyFill="1" applyBorder="1" applyAlignment="1">
      <alignment vertical="top" wrapText="1"/>
    </xf>
    <xf numFmtId="173" fontId="38" fillId="4" borderId="7" xfId="11" applyNumberFormat="1" applyFont="1" applyFill="1" applyBorder="1" applyAlignment="1" applyProtection="1">
      <alignment vertical="top"/>
      <protection locked="0"/>
    </xf>
    <xf numFmtId="173" fontId="38" fillId="0" borderId="7" xfId="10" applyNumberFormat="1" applyFont="1" applyBorder="1" applyAlignment="1">
      <alignment vertical="top"/>
    </xf>
    <xf numFmtId="190" fontId="38" fillId="0" borderId="7" xfId="10" applyNumberFormat="1" applyFont="1" applyBorder="1" applyAlignment="1">
      <alignment vertical="top"/>
    </xf>
    <xf numFmtId="202" fontId="38" fillId="0" borderId="0" xfId="10" applyNumberFormat="1" applyFont="1" applyFill="1" applyAlignment="1" applyProtection="1">
      <alignment vertical="top"/>
      <protection locked="0"/>
    </xf>
    <xf numFmtId="193" fontId="38" fillId="4" borderId="0" xfId="10" applyNumberFormat="1" applyFont="1" applyFill="1" applyAlignment="1">
      <alignment vertical="top"/>
    </xf>
    <xf numFmtId="198" fontId="38" fillId="4" borderId="0" xfId="10" applyNumberFormat="1" applyFont="1" applyFill="1" applyAlignment="1" applyProtection="1">
      <alignment vertical="top"/>
      <protection locked="0"/>
    </xf>
    <xf numFmtId="208" fontId="38" fillId="4" borderId="0" xfId="10" applyNumberFormat="1" applyFont="1" applyFill="1" applyAlignment="1" applyProtection="1">
      <alignment vertical="top"/>
      <protection locked="0"/>
    </xf>
    <xf numFmtId="3" fontId="43" fillId="0" borderId="0" xfId="10" applyNumberFormat="1" applyFont="1" applyFill="1"/>
    <xf numFmtId="0" fontId="38" fillId="0" borderId="0" xfId="10" applyFont="1" applyBorder="1" applyAlignment="1">
      <alignment horizontal="center" vertical="center" wrapText="1"/>
    </xf>
    <xf numFmtId="190" fontId="38" fillId="0" borderId="0" xfId="10" applyNumberFormat="1" applyFont="1" applyBorder="1" applyAlignment="1">
      <alignment horizontal="center" vertical="center"/>
    </xf>
    <xf numFmtId="0" fontId="30" fillId="0" borderId="0" xfId="0" applyFont="1" applyAlignment="1" applyProtection="1">
      <alignment vertical="center"/>
    </xf>
    <xf numFmtId="10" fontId="11" fillId="0" borderId="9" xfId="4" applyNumberFormat="1" applyFont="1" applyFill="1" applyBorder="1" applyAlignment="1" applyProtection="1">
      <alignment vertical="center"/>
      <protection locked="0"/>
    </xf>
    <xf numFmtId="174" fontId="11" fillId="0" borderId="9" xfId="4" applyNumberFormat="1" applyFont="1" applyFill="1" applyBorder="1" applyAlignment="1" applyProtection="1">
      <alignment vertical="center"/>
      <protection locked="0"/>
    </xf>
    <xf numFmtId="0" fontId="13" fillId="11" borderId="9" xfId="0" applyFont="1" applyFill="1" applyBorder="1" applyAlignment="1" applyProtection="1">
      <alignment horizontal="center" vertical="top"/>
    </xf>
    <xf numFmtId="0" fontId="10" fillId="11" borderId="9" xfId="2" applyFont="1" applyFill="1" applyBorder="1" applyAlignment="1" applyProtection="1">
      <alignment horizontal="center" vertical="top" wrapText="1"/>
    </xf>
    <xf numFmtId="0" fontId="10" fillId="11" borderId="9" xfId="2" applyFont="1" applyFill="1" applyBorder="1" applyAlignment="1" applyProtection="1">
      <alignment horizontal="center" vertical="top"/>
    </xf>
    <xf numFmtId="0" fontId="11" fillId="0" borderId="0" xfId="0" applyFont="1"/>
    <xf numFmtId="176" fontId="11" fillId="0" borderId="9" xfId="0" applyNumberFormat="1" applyFont="1" applyBorder="1" applyAlignment="1">
      <alignment vertical="center"/>
    </xf>
    <xf numFmtId="0" fontId="8" fillId="0" borderId="7" xfId="2" applyBorder="1"/>
    <xf numFmtId="0" fontId="27" fillId="0" borderId="7" xfId="2" applyFont="1" applyBorder="1"/>
    <xf numFmtId="0" fontId="11" fillId="0" borderId="7" xfId="0" applyFont="1" applyBorder="1"/>
    <xf numFmtId="0" fontId="27" fillId="0" borderId="0" xfId="2" applyFont="1"/>
    <xf numFmtId="0" fontId="13" fillId="0" borderId="0" xfId="0" applyFont="1" applyFill="1" applyBorder="1" applyAlignment="1" applyProtection="1">
      <alignment vertical="center"/>
    </xf>
    <xf numFmtId="211" fontId="13" fillId="0" borderId="0" xfId="0" applyNumberFormat="1" applyFont="1" applyFill="1" applyBorder="1" applyAlignment="1" applyProtection="1">
      <alignment vertical="center"/>
    </xf>
    <xf numFmtId="173" fontId="13" fillId="0" borderId="0" xfId="0" applyNumberFormat="1" applyFont="1" applyFill="1" applyBorder="1" applyAlignment="1" applyProtection="1">
      <alignment vertical="center"/>
    </xf>
    <xf numFmtId="174" fontId="13" fillId="0" borderId="0" xfId="0" applyNumberFormat="1" applyFont="1" applyFill="1" applyBorder="1" applyAlignment="1" applyProtection="1">
      <alignment vertical="center"/>
    </xf>
    <xf numFmtId="173" fontId="13" fillId="0" borderId="0" xfId="1" applyNumberFormat="1" applyFont="1" applyFill="1" applyBorder="1" applyAlignment="1" applyProtection="1">
      <alignment vertical="center"/>
    </xf>
    <xf numFmtId="175" fontId="13" fillId="0" borderId="0" xfId="0" applyNumberFormat="1" applyFont="1" applyFill="1" applyBorder="1" applyAlignment="1" applyProtection="1">
      <alignment vertical="center"/>
    </xf>
    <xf numFmtId="176" fontId="13" fillId="0" borderId="0" xfId="0" applyNumberFormat="1" applyFont="1" applyFill="1" applyBorder="1" applyAlignment="1" applyProtection="1">
      <alignment vertical="center"/>
    </xf>
    <xf numFmtId="211" fontId="11" fillId="0" borderId="21" xfId="4" applyNumberFormat="1" applyFont="1" applyFill="1" applyBorder="1" applyAlignment="1" applyProtection="1">
      <alignment vertical="center"/>
      <protection locked="0"/>
    </xf>
    <xf numFmtId="10" fontId="11" fillId="0" borderId="21" xfId="4" applyNumberFormat="1" applyFont="1" applyFill="1" applyBorder="1" applyAlignment="1" applyProtection="1">
      <alignment vertical="center"/>
      <protection locked="0"/>
    </xf>
    <xf numFmtId="174" fontId="11" fillId="0" borderId="21" xfId="4" applyNumberFormat="1" applyFont="1" applyFill="1" applyBorder="1" applyAlignment="1" applyProtection="1">
      <alignment vertical="center"/>
      <protection locked="0"/>
    </xf>
    <xf numFmtId="0" fontId="8" fillId="0" borderId="0" xfId="0" applyFont="1" applyFill="1" applyBorder="1"/>
    <xf numFmtId="0" fontId="11" fillId="0" borderId="0" xfId="0" applyFont="1" applyFill="1" applyAlignment="1">
      <alignment horizontal="left" vertical="top"/>
    </xf>
    <xf numFmtId="0" fontId="15" fillId="0" borderId="0" xfId="0" applyFont="1" applyAlignment="1" applyProtection="1">
      <alignment horizontal="left" vertical="top"/>
    </xf>
    <xf numFmtId="197" fontId="30" fillId="7" borderId="9" xfId="6" applyNumberFormat="1" applyFill="1" applyBorder="1" applyAlignment="1" applyProtection="1">
      <alignment vertical="center"/>
      <protection locked="0"/>
    </xf>
    <xf numFmtId="173" fontId="30" fillId="7" borderId="9" xfId="1" applyNumberFormat="1" applyFont="1" applyFill="1" applyBorder="1" applyAlignment="1" applyProtection="1">
      <alignment vertical="center"/>
      <protection locked="0"/>
    </xf>
    <xf numFmtId="197" fontId="30" fillId="7" borderId="15" xfId="6" applyNumberFormat="1" applyFill="1" applyBorder="1" applyAlignment="1" applyProtection="1">
      <alignment vertical="center"/>
      <protection locked="0"/>
    </xf>
    <xf numFmtId="173" fontId="30" fillId="7" borderId="15" xfId="1" applyNumberFormat="1" applyFont="1" applyFill="1" applyBorder="1" applyAlignment="1" applyProtection="1">
      <alignment vertical="center"/>
      <protection locked="0"/>
    </xf>
    <xf numFmtId="0" fontId="30" fillId="5" borderId="16" xfId="6" applyFill="1" applyBorder="1"/>
    <xf numFmtId="0" fontId="30" fillId="5" borderId="17" xfId="6" applyFill="1" applyBorder="1"/>
    <xf numFmtId="197" fontId="30" fillId="7" borderId="22" xfId="6" applyNumberFormat="1" applyFill="1" applyBorder="1" applyAlignment="1" applyProtection="1">
      <alignment vertical="center"/>
      <protection locked="0"/>
    </xf>
    <xf numFmtId="173" fontId="30" fillId="7" borderId="22" xfId="1" applyNumberFormat="1" applyFont="1" applyFill="1" applyBorder="1" applyAlignment="1" applyProtection="1">
      <alignment vertical="center"/>
      <protection locked="0"/>
    </xf>
    <xf numFmtId="197" fontId="30" fillId="7" borderId="25" xfId="6" applyNumberFormat="1" applyFill="1" applyBorder="1" applyAlignment="1" applyProtection="1">
      <alignment vertical="center"/>
      <protection locked="0"/>
    </xf>
    <xf numFmtId="173" fontId="30" fillId="7" borderId="25" xfId="1" applyNumberFormat="1" applyFont="1" applyFill="1" applyBorder="1" applyAlignment="1" applyProtection="1">
      <alignment vertical="center"/>
      <protection locked="0"/>
    </xf>
    <xf numFmtId="197" fontId="28" fillId="5" borderId="0" xfId="6" applyNumberFormat="1" applyFont="1" applyFill="1" applyAlignment="1">
      <alignment vertical="center"/>
    </xf>
    <xf numFmtId="197" fontId="30" fillId="5" borderId="0" xfId="6" applyNumberFormat="1" applyFill="1"/>
    <xf numFmtId="173" fontId="28" fillId="5" borderId="17" xfId="1" applyNumberFormat="1" applyFont="1" applyFill="1" applyBorder="1" applyAlignment="1">
      <alignment vertical="center"/>
    </xf>
    <xf numFmtId="173" fontId="30" fillId="5" borderId="20" xfId="1" applyNumberFormat="1" applyFont="1" applyFill="1" applyBorder="1"/>
    <xf numFmtId="173" fontId="0" fillId="5" borderId="14" xfId="1" applyNumberFormat="1" applyFont="1" applyFill="1" applyBorder="1" applyAlignment="1" applyProtection="1">
      <alignment vertical="center"/>
    </xf>
    <xf numFmtId="197" fontId="0" fillId="5" borderId="13" xfId="8" applyNumberFormat="1" applyFont="1" applyFill="1" applyBorder="1" applyAlignment="1" applyProtection="1">
      <alignment vertical="center" wrapText="1"/>
    </xf>
    <xf numFmtId="197" fontId="30" fillId="7" borderId="59" xfId="6" applyNumberFormat="1" applyFill="1" applyBorder="1" applyAlignment="1" applyProtection="1">
      <alignment vertical="center"/>
      <protection locked="0"/>
    </xf>
    <xf numFmtId="197" fontId="30" fillId="7" borderId="61" xfId="6" applyNumberFormat="1" applyFill="1" applyBorder="1" applyAlignment="1" applyProtection="1">
      <alignment vertical="center"/>
      <protection locked="0"/>
    </xf>
    <xf numFmtId="197" fontId="30" fillId="7" borderId="26" xfId="6" applyNumberFormat="1" applyFill="1" applyBorder="1" applyAlignment="1" applyProtection="1">
      <alignment vertical="center"/>
      <protection locked="0"/>
    </xf>
    <xf numFmtId="173" fontId="30" fillId="7" borderId="62" xfId="1" applyNumberFormat="1" applyFont="1" applyFill="1" applyBorder="1" applyAlignment="1" applyProtection="1">
      <alignment vertical="center"/>
      <protection locked="0"/>
    </xf>
    <xf numFmtId="173" fontId="30" fillId="7" borderId="63" xfId="1" applyNumberFormat="1" applyFont="1" applyFill="1" applyBorder="1" applyAlignment="1" applyProtection="1">
      <alignment vertical="center"/>
      <protection locked="0"/>
    </xf>
    <xf numFmtId="197" fontId="30" fillId="5" borderId="16" xfId="6" applyNumberFormat="1" applyFill="1" applyBorder="1" applyAlignment="1">
      <alignment vertical="center"/>
    </xf>
    <xf numFmtId="197" fontId="0" fillId="5" borderId="19" xfId="8" applyNumberFormat="1" applyFont="1" applyFill="1" applyBorder="1" applyProtection="1"/>
    <xf numFmtId="197" fontId="28" fillId="5" borderId="13" xfId="8" applyNumberFormat="1" applyFont="1" applyFill="1" applyBorder="1" applyAlignment="1" applyProtection="1">
      <alignment vertical="center"/>
    </xf>
    <xf numFmtId="173" fontId="30" fillId="5" borderId="17" xfId="1" applyNumberFormat="1" applyFont="1" applyFill="1" applyBorder="1" applyAlignment="1">
      <alignment vertical="center"/>
    </xf>
    <xf numFmtId="173" fontId="0" fillId="5" borderId="20" xfId="1" applyNumberFormat="1" applyFont="1" applyFill="1" applyBorder="1" applyProtection="1"/>
    <xf numFmtId="173" fontId="0" fillId="5" borderId="20" xfId="1" applyNumberFormat="1" applyFont="1" applyFill="1" applyBorder="1" applyAlignment="1" applyProtection="1">
      <alignment vertical="center"/>
    </xf>
    <xf numFmtId="173" fontId="30" fillId="5" borderId="14" xfId="1" applyNumberFormat="1" applyFont="1" applyFill="1" applyBorder="1" applyAlignment="1">
      <alignment vertical="center"/>
    </xf>
    <xf numFmtId="173" fontId="30" fillId="5" borderId="15" xfId="1" applyNumberFormat="1" applyFont="1" applyFill="1" applyBorder="1" applyAlignment="1">
      <alignment vertical="center"/>
    </xf>
    <xf numFmtId="173" fontId="32" fillId="5" borderId="20" xfId="1" applyNumberFormat="1" applyFont="1" applyFill="1" applyBorder="1" applyAlignment="1" applyProtection="1">
      <alignment vertical="center"/>
    </xf>
    <xf numFmtId="173" fontId="5" fillId="5" borderId="20" xfId="1" applyNumberFormat="1" applyFont="1" applyFill="1" applyBorder="1" applyAlignment="1">
      <alignment vertical="center"/>
    </xf>
    <xf numFmtId="173" fontId="28" fillId="5" borderId="20" xfId="1" applyNumberFormat="1" applyFont="1" applyFill="1" applyBorder="1" applyAlignment="1">
      <alignment vertical="center"/>
    </xf>
    <xf numFmtId="173" fontId="30" fillId="5" borderId="20" xfId="1" applyNumberFormat="1" applyFont="1" applyFill="1" applyBorder="1" applyAlignment="1">
      <alignment vertical="center"/>
    </xf>
    <xf numFmtId="197" fontId="28" fillId="5" borderId="19" xfId="8" applyNumberFormat="1" applyFont="1" applyFill="1" applyBorder="1" applyProtection="1"/>
    <xf numFmtId="197" fontId="5" fillId="5" borderId="19" xfId="8" applyNumberFormat="1" applyFont="1" applyFill="1" applyBorder="1" applyAlignment="1" applyProtection="1">
      <alignment vertical="center"/>
    </xf>
    <xf numFmtId="197" fontId="33" fillId="5" borderId="19" xfId="6" applyNumberFormat="1" applyFont="1" applyFill="1" applyBorder="1" applyAlignment="1">
      <alignment vertical="center" wrapText="1"/>
    </xf>
    <xf numFmtId="197" fontId="5" fillId="5" borderId="19" xfId="6" applyNumberFormat="1" applyFont="1" applyFill="1" applyBorder="1" applyAlignment="1">
      <alignment vertical="center"/>
    </xf>
    <xf numFmtId="197" fontId="30" fillId="5" borderId="19" xfId="6" applyNumberFormat="1" applyFill="1" applyBorder="1" applyAlignment="1">
      <alignment vertical="center"/>
    </xf>
    <xf numFmtId="197" fontId="30" fillId="5" borderId="13" xfId="6" applyNumberFormat="1" applyFill="1" applyBorder="1" applyAlignment="1">
      <alignment vertical="center"/>
    </xf>
    <xf numFmtId="0" fontId="30" fillId="0" borderId="6" xfId="0" applyFont="1" applyBorder="1"/>
    <xf numFmtId="0" fontId="9" fillId="11" borderId="9" xfId="0" applyFont="1" applyFill="1" applyBorder="1" applyAlignment="1">
      <alignment vertical="center"/>
    </xf>
    <xf numFmtId="0" fontId="8" fillId="0" borderId="0" xfId="0" applyFont="1" applyAlignment="1" applyProtection="1">
      <alignment vertical="center"/>
    </xf>
    <xf numFmtId="173" fontId="11" fillId="0" borderId="9" xfId="0" applyNumberFormat="1" applyFont="1" applyFill="1" applyBorder="1" applyAlignment="1" applyProtection="1">
      <alignment vertical="center"/>
      <protection locked="0"/>
    </xf>
    <xf numFmtId="0" fontId="75" fillId="0" borderId="0" xfId="0" applyFont="1" applyAlignment="1" applyProtection="1">
      <alignment horizontal="left" vertical="top"/>
    </xf>
    <xf numFmtId="0" fontId="13" fillId="0" borderId="3" xfId="0" applyFont="1" applyBorder="1" applyAlignment="1" applyProtection="1">
      <alignment horizontal="left" vertical="top"/>
      <protection locked="0"/>
    </xf>
    <xf numFmtId="0" fontId="13" fillId="0" borderId="0" xfId="0" applyFont="1" applyAlignment="1" applyProtection="1">
      <alignment horizontal="left" vertical="top"/>
    </xf>
    <xf numFmtId="0" fontId="28" fillId="18" borderId="40" xfId="0" applyFont="1" applyFill="1" applyBorder="1" applyAlignment="1">
      <alignment horizontal="left" vertical="center" wrapText="1"/>
    </xf>
    <xf numFmtId="0" fontId="28" fillId="18" borderId="5" xfId="0" applyFont="1" applyFill="1" applyBorder="1" applyAlignment="1">
      <alignment horizontal="left" vertical="center"/>
    </xf>
    <xf numFmtId="0" fontId="28" fillId="18" borderId="43" xfId="0" applyFont="1" applyFill="1" applyBorder="1" applyAlignment="1">
      <alignment horizontal="left" vertical="center"/>
    </xf>
    <xf numFmtId="0" fontId="28" fillId="18" borderId="57" xfId="0" applyFont="1" applyFill="1" applyBorder="1" applyAlignment="1">
      <alignment horizontal="left" vertical="center"/>
    </xf>
    <xf numFmtId="0" fontId="28" fillId="18" borderId="0" xfId="0" applyFont="1" applyFill="1" applyAlignment="1">
      <alignment horizontal="left" vertical="center"/>
    </xf>
    <xf numFmtId="0" fontId="28" fillId="18" borderId="58" xfId="0" applyFont="1" applyFill="1" applyBorder="1" applyAlignment="1">
      <alignment horizontal="left" vertical="center"/>
    </xf>
    <xf numFmtId="0" fontId="28" fillId="18" borderId="41" xfId="0" applyFont="1" applyFill="1" applyBorder="1" applyAlignment="1">
      <alignment horizontal="left" vertical="center"/>
    </xf>
    <xf numFmtId="0" fontId="28" fillId="18" borderId="3" xfId="0" applyFont="1" applyFill="1" applyBorder="1" applyAlignment="1">
      <alignment horizontal="left" vertical="center"/>
    </xf>
    <xf numFmtId="0" fontId="28" fillId="18" borderId="42" xfId="0" applyFont="1" applyFill="1" applyBorder="1" applyAlignment="1">
      <alignment horizontal="left" vertical="center"/>
    </xf>
    <xf numFmtId="0" fontId="11" fillId="0" borderId="6" xfId="0" applyFont="1" applyBorder="1" applyAlignment="1" applyProtection="1">
      <alignment horizontal="left"/>
      <protection locked="0"/>
    </xf>
    <xf numFmtId="0" fontId="13" fillId="17" borderId="10" xfId="0" applyFont="1" applyFill="1" applyBorder="1" applyAlignment="1" applyProtection="1">
      <alignment horizontal="left" vertical="center"/>
    </xf>
    <xf numFmtId="0" fontId="13" fillId="17" borderId="11" xfId="0" applyFont="1" applyFill="1" applyBorder="1" applyAlignment="1" applyProtection="1">
      <alignment horizontal="left" vertical="center"/>
    </xf>
    <xf numFmtId="0" fontId="13" fillId="17" borderId="12" xfId="0" applyFont="1" applyFill="1" applyBorder="1" applyAlignment="1" applyProtection="1">
      <alignment horizontal="left" vertical="center"/>
    </xf>
    <xf numFmtId="0" fontId="11" fillId="0" borderId="0" xfId="0" applyFont="1" applyFill="1" applyAlignment="1" applyProtection="1">
      <alignment horizontal="left"/>
      <protection locked="0"/>
    </xf>
    <xf numFmtId="0" fontId="11" fillId="0" borderId="6" xfId="0" applyFont="1" applyFill="1" applyBorder="1" applyAlignment="1" applyProtection="1">
      <alignment horizontal="left"/>
      <protection locked="0"/>
    </xf>
    <xf numFmtId="0" fontId="10" fillId="0" borderId="3" xfId="0" applyFont="1" applyBorder="1" applyAlignment="1" applyProtection="1">
      <alignment horizontal="left" vertical="center"/>
    </xf>
    <xf numFmtId="0" fontId="6" fillId="0" borderId="5" xfId="0" applyFont="1" applyBorder="1" applyAlignment="1" applyProtection="1">
      <alignment horizontal="left" vertical="center"/>
    </xf>
    <xf numFmtId="0" fontId="13" fillId="11" borderId="1" xfId="0" applyFont="1" applyFill="1" applyBorder="1" applyAlignment="1">
      <alignment horizontal="left" vertical="center" wrapText="1"/>
    </xf>
    <xf numFmtId="0" fontId="13" fillId="11" borderId="54" xfId="0" applyFont="1" applyFill="1" applyBorder="1" applyAlignment="1">
      <alignment horizontal="left" vertical="center" wrapText="1"/>
    </xf>
    <xf numFmtId="0" fontId="13" fillId="11" borderId="2" xfId="0" applyFont="1" applyFill="1" applyBorder="1" applyAlignment="1">
      <alignment horizontal="left" vertical="center" wrapText="1"/>
    </xf>
    <xf numFmtId="0" fontId="10" fillId="0" borderId="0" xfId="0" applyFont="1" applyBorder="1" applyAlignment="1" applyProtection="1">
      <alignment horizontal="left" vertical="center"/>
      <protection locked="0"/>
    </xf>
    <xf numFmtId="0" fontId="40" fillId="0" borderId="0" xfId="0" applyFont="1" applyAlignment="1" applyProtection="1">
      <alignment horizontal="left" vertical="center"/>
      <protection locked="0"/>
    </xf>
    <xf numFmtId="0" fontId="70" fillId="0" borderId="55" xfId="0" applyFont="1" applyBorder="1" applyAlignment="1" applyProtection="1">
      <alignment horizontal="left" vertical="top"/>
    </xf>
    <xf numFmtId="0" fontId="70" fillId="0" borderId="55" xfId="0" applyFont="1" applyBorder="1" applyAlignment="1">
      <alignment horizontal="left"/>
    </xf>
    <xf numFmtId="0" fontId="70" fillId="0" borderId="44" xfId="0" applyFont="1" applyBorder="1" applyAlignment="1">
      <alignment horizontal="left"/>
    </xf>
    <xf numFmtId="0" fontId="5" fillId="0" borderId="0" xfId="6" applyFont="1" applyAlignment="1">
      <alignment horizontal="left" vertical="center" wrapText="1"/>
    </xf>
    <xf numFmtId="5" fontId="30" fillId="0" borderId="23" xfId="6" applyNumberFormat="1" applyFill="1" applyBorder="1" applyAlignment="1" applyProtection="1">
      <alignment horizontal="right" vertical="center"/>
      <protection locked="0"/>
    </xf>
    <xf numFmtId="5" fontId="30" fillId="0" borderId="24" xfId="6" applyNumberFormat="1" applyFill="1" applyBorder="1" applyAlignment="1" applyProtection="1">
      <alignment horizontal="right" vertical="center"/>
      <protection locked="0"/>
    </xf>
    <xf numFmtId="0" fontId="28" fillId="0" borderId="21" xfId="6" applyFont="1" applyBorder="1" applyAlignment="1">
      <alignment horizontal="left" vertical="top"/>
    </xf>
    <xf numFmtId="0" fontId="28" fillId="0" borderId="22" xfId="6" applyFont="1" applyBorder="1" applyAlignment="1">
      <alignment horizontal="left" vertical="top"/>
    </xf>
    <xf numFmtId="180" fontId="28" fillId="5" borderId="16" xfId="6" applyNumberFormat="1" applyFont="1" applyFill="1" applyBorder="1" applyAlignment="1" applyProtection="1">
      <alignment horizontal="center" vertical="center"/>
    </xf>
    <xf numFmtId="180" fontId="28" fillId="5" borderId="17" xfId="6" applyNumberFormat="1" applyFont="1" applyFill="1" applyBorder="1" applyAlignment="1" applyProtection="1">
      <alignment horizontal="center" vertical="center"/>
    </xf>
    <xf numFmtId="180" fontId="28" fillId="5" borderId="23" xfId="6" applyNumberFormat="1" applyFont="1" applyFill="1" applyBorder="1" applyAlignment="1" applyProtection="1">
      <alignment horizontal="center" vertical="center"/>
    </xf>
    <xf numFmtId="180" fontId="28" fillId="5" borderId="24" xfId="6" applyNumberFormat="1" applyFont="1" applyFill="1" applyBorder="1" applyAlignment="1" applyProtection="1">
      <alignment horizontal="center" vertical="center"/>
    </xf>
    <xf numFmtId="0" fontId="28" fillId="0" borderId="19" xfId="7" applyNumberFormat="1" applyFont="1" applyFill="1" applyBorder="1" applyAlignment="1" applyProtection="1">
      <alignment horizontal="left" vertical="top" wrapText="1"/>
    </xf>
    <xf numFmtId="0" fontId="30" fillId="0" borderId="20" xfId="6" applyNumberFormat="1" applyBorder="1" applyAlignment="1" applyProtection="1">
      <alignment horizontal="left" vertical="top" wrapText="1"/>
    </xf>
    <xf numFmtId="3" fontId="28" fillId="0" borderId="16" xfId="6" applyNumberFormat="1" applyFont="1" applyBorder="1" applyAlignment="1">
      <alignment horizontal="center" vertical="center"/>
    </xf>
    <xf numFmtId="3" fontId="28" fillId="0" borderId="19" xfId="6" applyNumberFormat="1" applyFont="1" applyBorder="1" applyAlignment="1">
      <alignment horizontal="center" vertical="center"/>
    </xf>
    <xf numFmtId="3" fontId="28" fillId="0" borderId="13" xfId="6" applyNumberFormat="1" applyFont="1" applyBorder="1" applyAlignment="1">
      <alignment horizontal="center" vertical="center"/>
    </xf>
    <xf numFmtId="0" fontId="9" fillId="0" borderId="17" xfId="6" applyFont="1" applyBorder="1" applyAlignment="1">
      <alignment horizontal="center" vertical="center" wrapText="1"/>
    </xf>
    <xf numFmtId="0" fontId="9" fillId="0" borderId="20" xfId="6" applyFont="1" applyBorder="1" applyAlignment="1">
      <alignment horizontal="center" vertical="center" wrapText="1"/>
    </xf>
    <xf numFmtId="0" fontId="9" fillId="0" borderId="14" xfId="6" applyFont="1" applyBorder="1" applyAlignment="1">
      <alignment horizontal="center" vertical="center" wrapText="1"/>
    </xf>
    <xf numFmtId="0" fontId="30" fillId="0" borderId="0" xfId="6" applyAlignment="1" applyProtection="1">
      <alignment horizontal="left"/>
      <protection locked="0"/>
    </xf>
    <xf numFmtId="0" fontId="30" fillId="0" borderId="6" xfId="6" applyBorder="1" applyAlignment="1" applyProtection="1">
      <alignment horizontal="left"/>
      <protection locked="0"/>
    </xf>
    <xf numFmtId="180" fontId="32" fillId="5" borderId="51" xfId="8" applyNumberFormat="1" applyFont="1" applyFill="1" applyBorder="1" applyAlignment="1" applyProtection="1">
      <alignment horizontal="right" vertical="center"/>
    </xf>
    <xf numFmtId="180" fontId="32" fillId="5" borderId="64" xfId="8" applyNumberFormat="1" applyFont="1" applyFill="1" applyBorder="1" applyAlignment="1" applyProtection="1">
      <alignment horizontal="right" vertical="center"/>
    </xf>
    <xf numFmtId="180" fontId="28" fillId="0" borderId="26" xfId="8" applyNumberFormat="1" applyFont="1" applyFill="1" applyBorder="1" applyAlignment="1" applyProtection="1">
      <alignment horizontal="right" vertical="center"/>
    </xf>
    <xf numFmtId="180" fontId="28" fillId="0" borderId="27" xfId="8" applyNumberFormat="1" applyFont="1" applyFill="1" applyBorder="1" applyAlignment="1" applyProtection="1">
      <alignment horizontal="right" vertical="center"/>
    </xf>
    <xf numFmtId="5" fontId="30" fillId="0" borderId="26" xfId="6" applyNumberFormat="1" applyFill="1" applyBorder="1" applyAlignment="1" applyProtection="1">
      <alignment horizontal="right" vertical="center"/>
      <protection locked="0"/>
    </xf>
    <xf numFmtId="5" fontId="30" fillId="0" borderId="27" xfId="6" applyNumberFormat="1" applyFill="1" applyBorder="1" applyAlignment="1" applyProtection="1">
      <alignment horizontal="right" vertical="center"/>
      <protection locked="0"/>
    </xf>
    <xf numFmtId="180" fontId="28" fillId="0" borderId="10" xfId="6" applyNumberFormat="1" applyFont="1" applyBorder="1" applyAlignment="1"/>
    <xf numFmtId="0" fontId="40" fillId="0" borderId="11" xfId="0" applyFont="1" applyBorder="1" applyAlignment="1"/>
    <xf numFmtId="180" fontId="28" fillId="0" borderId="10" xfId="6" applyNumberFormat="1" applyFont="1" applyBorder="1" applyAlignment="1">
      <alignment horizontal="right" vertical="center"/>
    </xf>
    <xf numFmtId="180" fontId="28" fillId="0" borderId="12" xfId="6" applyNumberFormat="1" applyFont="1" applyBorder="1" applyAlignment="1">
      <alignment horizontal="right" vertical="center"/>
    </xf>
    <xf numFmtId="0" fontId="23" fillId="0" borderId="0" xfId="6" applyFont="1" applyAlignment="1">
      <alignment horizontal="left" vertical="center" wrapText="1"/>
    </xf>
    <xf numFmtId="0" fontId="13" fillId="0" borderId="3" xfId="6" applyFont="1" applyBorder="1" applyAlignment="1" applyProtection="1">
      <alignment horizontal="left" vertical="center" wrapText="1"/>
    </xf>
    <xf numFmtId="0" fontId="13" fillId="0" borderId="16" xfId="6" applyFont="1" applyBorder="1" applyAlignment="1">
      <alignment horizontal="center" vertical="top" wrapText="1"/>
    </xf>
    <xf numFmtId="0" fontId="13" fillId="0" borderId="7" xfId="6" applyFont="1" applyBorder="1" applyAlignment="1">
      <alignment horizontal="center" vertical="top" wrapText="1"/>
    </xf>
    <xf numFmtId="0" fontId="13" fillId="0" borderId="17" xfId="6" applyFont="1" applyBorder="1" applyAlignment="1">
      <alignment horizontal="center" vertical="top" wrapText="1"/>
    </xf>
    <xf numFmtId="0" fontId="5" fillId="5" borderId="59" xfId="6" applyFont="1" applyFill="1" applyBorder="1" applyAlignment="1">
      <alignment horizontal="right" vertical="center"/>
    </xf>
    <xf numFmtId="0" fontId="5" fillId="5" borderId="60" xfId="6" applyFont="1" applyFill="1" applyBorder="1" applyAlignment="1">
      <alignment horizontal="right" vertical="center"/>
    </xf>
    <xf numFmtId="5" fontId="30" fillId="0" borderId="44" xfId="6" applyNumberFormat="1" applyFill="1" applyBorder="1" applyAlignment="1" applyProtection="1">
      <alignment horizontal="right" vertical="center"/>
      <protection locked="0"/>
    </xf>
    <xf numFmtId="0" fontId="28" fillId="5" borderId="16" xfId="6" applyFont="1" applyFill="1" applyBorder="1" applyAlignment="1">
      <alignment horizontal="center" vertical="center"/>
    </xf>
    <xf numFmtId="0" fontId="28" fillId="5" borderId="17" xfId="6" applyFont="1" applyFill="1" applyBorder="1" applyAlignment="1">
      <alignment horizontal="center" vertical="center"/>
    </xf>
    <xf numFmtId="0" fontId="8" fillId="0" borderId="0" xfId="0" applyFont="1" applyAlignment="1">
      <alignment horizontal="center" textRotation="90"/>
    </xf>
    <xf numFmtId="0" fontId="9" fillId="4" borderId="10" xfId="0" applyFont="1" applyFill="1" applyBorder="1" applyAlignment="1">
      <alignment horizontal="left" vertical="center"/>
    </xf>
    <xf numFmtId="0" fontId="9" fillId="4" borderId="11" xfId="0" applyFont="1" applyFill="1" applyBorder="1" applyAlignment="1">
      <alignment horizontal="left" vertical="center"/>
    </xf>
    <xf numFmtId="0" fontId="9" fillId="4" borderId="12" xfId="0" applyFont="1" applyFill="1" applyBorder="1" applyAlignment="1">
      <alignment horizontal="left" vertical="center"/>
    </xf>
    <xf numFmtId="0" fontId="60" fillId="0" borderId="0" xfId="0" applyFont="1" applyFill="1" applyAlignment="1" applyProtection="1">
      <alignment horizontal="left"/>
      <protection locked="0"/>
    </xf>
    <xf numFmtId="0" fontId="60" fillId="0" borderId="6" xfId="0" applyFont="1" applyFill="1" applyBorder="1" applyAlignment="1" applyProtection="1">
      <alignment horizontal="left"/>
      <protection locked="0"/>
    </xf>
    <xf numFmtId="0" fontId="8" fillId="4" borderId="10" xfId="0" applyFont="1" applyFill="1" applyBorder="1" applyAlignment="1">
      <alignment horizontal="left" vertical="center"/>
    </xf>
    <xf numFmtId="0" fontId="8" fillId="4" borderId="11" xfId="0" applyFont="1" applyFill="1" applyBorder="1" applyAlignment="1">
      <alignment horizontal="left" vertical="center"/>
    </xf>
    <xf numFmtId="0" fontId="8" fillId="4" borderId="12" xfId="0" applyFont="1" applyFill="1" applyBorder="1" applyAlignment="1">
      <alignment horizontal="left" vertical="center"/>
    </xf>
    <xf numFmtId="0" fontId="30" fillId="4" borderId="10" xfId="0" applyFont="1" applyFill="1" applyBorder="1" applyAlignment="1">
      <alignment horizontal="left" vertical="center"/>
    </xf>
    <xf numFmtId="0" fontId="30" fillId="4" borderId="11" xfId="0" applyFont="1" applyFill="1" applyBorder="1" applyAlignment="1">
      <alignment horizontal="left" vertical="center"/>
    </xf>
    <xf numFmtId="0" fontId="30" fillId="4" borderId="12" xfId="0" applyFont="1" applyFill="1" applyBorder="1" applyAlignment="1">
      <alignment horizontal="left" vertical="center"/>
    </xf>
    <xf numFmtId="0" fontId="8" fillId="4" borderId="10" xfId="0" applyFont="1" applyFill="1" applyBorder="1" applyAlignment="1" applyProtection="1">
      <alignment horizontal="left" vertical="center"/>
    </xf>
    <xf numFmtId="0" fontId="8" fillId="4" borderId="11" xfId="0" applyFont="1" applyFill="1" applyBorder="1" applyAlignment="1" applyProtection="1">
      <alignment horizontal="left" vertical="center"/>
    </xf>
    <xf numFmtId="0" fontId="8" fillId="4" borderId="12" xfId="0" applyFont="1" applyFill="1" applyBorder="1" applyAlignment="1" applyProtection="1">
      <alignment horizontal="left" vertical="center"/>
    </xf>
    <xf numFmtId="0" fontId="74" fillId="0" borderId="0" xfId="0" applyFont="1" applyAlignment="1">
      <alignment horizontal="left"/>
    </xf>
    <xf numFmtId="0" fontId="9" fillId="3" borderId="0" xfId="0" applyFont="1" applyFill="1" applyAlignment="1">
      <alignment horizontal="left"/>
    </xf>
    <xf numFmtId="0" fontId="8" fillId="4" borderId="10" xfId="5" applyFont="1" applyFill="1" applyBorder="1" applyAlignment="1">
      <alignment horizontal="left" vertical="center"/>
    </xf>
    <xf numFmtId="0" fontId="8" fillId="4" borderId="11" xfId="5" applyFont="1" applyFill="1" applyBorder="1" applyAlignment="1">
      <alignment horizontal="left" vertical="center"/>
    </xf>
    <xf numFmtId="0" fontId="8" fillId="4" borderId="12" xfId="5" applyFont="1" applyFill="1" applyBorder="1" applyAlignment="1">
      <alignment horizontal="left" vertical="center"/>
    </xf>
    <xf numFmtId="0" fontId="30" fillId="4" borderId="10" xfId="0" applyFont="1" applyFill="1" applyBorder="1" applyAlignment="1" applyProtection="1">
      <alignment horizontal="left" vertical="center"/>
      <protection locked="0"/>
    </xf>
    <xf numFmtId="0" fontId="30" fillId="4" borderId="11" xfId="0" applyFont="1" applyFill="1" applyBorder="1" applyAlignment="1" applyProtection="1">
      <alignment horizontal="left" vertical="center"/>
      <protection locked="0"/>
    </xf>
    <xf numFmtId="0" fontId="30" fillId="4" borderId="12" xfId="0" applyFont="1" applyFill="1" applyBorder="1" applyAlignment="1" applyProtection="1">
      <alignment horizontal="left" vertical="center"/>
      <protection locked="0"/>
    </xf>
    <xf numFmtId="0" fontId="8" fillId="4" borderId="10" xfId="0" applyFont="1" applyFill="1" applyBorder="1" applyAlignment="1" applyProtection="1">
      <alignment horizontal="left" vertical="center"/>
      <protection locked="0"/>
    </xf>
    <xf numFmtId="0" fontId="8" fillId="4" borderId="11" xfId="0" applyFont="1" applyFill="1" applyBorder="1" applyAlignment="1" applyProtection="1">
      <alignment horizontal="left" vertical="center"/>
      <protection locked="0"/>
    </xf>
    <xf numFmtId="0" fontId="8" fillId="4" borderId="12" xfId="0" applyFont="1" applyFill="1" applyBorder="1" applyAlignment="1" applyProtection="1">
      <alignment horizontal="left" vertical="center"/>
      <protection locked="0"/>
    </xf>
    <xf numFmtId="0" fontId="0" fillId="0" borderId="11" xfId="0" applyBorder="1" applyAlignment="1">
      <alignment horizontal="left" vertical="center"/>
    </xf>
    <xf numFmtId="0" fontId="26" fillId="0" borderId="0" xfId="10" applyAlignment="1">
      <alignment vertical="top" wrapText="1"/>
    </xf>
    <xf numFmtId="0" fontId="38" fillId="0" borderId="0" xfId="10" applyFont="1" applyFill="1" applyBorder="1" applyAlignment="1">
      <alignment horizontal="center" vertical="top"/>
    </xf>
    <xf numFmtId="190" fontId="38" fillId="0" borderId="0" xfId="10" applyNumberFormat="1" applyFont="1" applyBorder="1" applyAlignment="1">
      <alignment horizontal="center" vertical="center" wrapText="1"/>
    </xf>
    <xf numFmtId="0" fontId="38" fillId="0" borderId="0" xfId="10" applyFont="1" applyBorder="1" applyAlignment="1">
      <alignment horizontal="center" vertical="center" wrapText="1"/>
    </xf>
    <xf numFmtId="189" fontId="50" fillId="0" borderId="0" xfId="10" applyNumberFormat="1" applyFont="1" applyAlignment="1">
      <alignment horizontal="center" vertical="top" wrapText="1"/>
    </xf>
  </cellXfs>
  <cellStyles count="14">
    <cellStyle name="Euro" xfId="12" xr:uid="{522A6D70-65F4-4DDE-857E-1D62A0E06794}"/>
    <cellStyle name="Komma" xfId="4" builtinId="3"/>
    <cellStyle name="Prozent" xfId="1" builtinId="5"/>
    <cellStyle name="Prozent 2" xfId="3" xr:uid="{CCA33B32-74BB-44A6-95B3-B5588D36F496}"/>
    <cellStyle name="Prozent 3" xfId="7" xr:uid="{9C396DC4-33CE-4351-BDDE-E6B6DA85D654}"/>
    <cellStyle name="Prozent 4" xfId="11" xr:uid="{37841DE3-EA92-4513-B0FC-0815B96F06BF}"/>
    <cellStyle name="Standard" xfId="0" builtinId="0"/>
    <cellStyle name="Standard 2" xfId="2" xr:uid="{DB14EA22-7215-44E4-884C-D146016E1536}"/>
    <cellStyle name="Standard 3" xfId="6" xr:uid="{254485B1-3D30-47CE-9A44-E8C38B0EFD35}"/>
    <cellStyle name="Standard 4" xfId="10" xr:uid="{708647A6-B7F4-430B-AF84-661A9D639CA1}"/>
    <cellStyle name="Standard 4 2" xfId="13" xr:uid="{B08CAA8A-1C75-493F-A0B5-D946E6899DEA}"/>
    <cellStyle name="Standard_ROETZ01R" xfId="5" xr:uid="{9F357F92-48B4-4D48-B4D5-170A2B369A9A}"/>
    <cellStyle name="Währung 2" xfId="8" xr:uid="{351D1459-A885-4DF0-9200-13701B9B220A}"/>
    <cellStyle name="Währung 3" xfId="9" xr:uid="{08AC2183-BB0C-4D52-9DA3-14C6B1803F68}"/>
  </cellStyles>
  <dxfs count="75">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ont>
        <color rgb="FFFF0000"/>
      </font>
    </dxf>
    <dxf>
      <fill>
        <patternFill patternType="solid">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66"/>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0000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Aminwäsche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scatterChart>
        <c:scatterStyle val="smoothMarker"/>
        <c:varyColors val="0"/>
        <c:ser>
          <c:idx val="7"/>
          <c:order val="7"/>
          <c:tx>
            <c:strRef>
              <c:f>Gasaufbereitungsanlagen!$J$13</c:f>
              <c:strCache>
                <c:ptCount val="1"/>
                <c:pt idx="0">
                  <c:v>spez. Anschaffungskosten</c:v>
                </c:pt>
              </c:strCache>
            </c:strRef>
          </c:tx>
          <c:spPr>
            <a:ln w="19050"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trendline>
            <c:spPr>
              <a:ln w="19050" cap="rnd">
                <a:solidFill>
                  <a:schemeClr val="accent2">
                    <a:lumMod val="60000"/>
                  </a:schemeClr>
                </a:solidFill>
                <a:prstDash val="sysDot"/>
              </a:ln>
              <a:effectLst/>
            </c:spPr>
            <c:trendlineType val="linear"/>
            <c:dispRSqr val="0"/>
            <c:dispEq val="0"/>
          </c:trendline>
          <c:trendline>
            <c:spPr>
              <a:ln w="19050" cap="rnd">
                <a:solidFill>
                  <a:schemeClr val="accent2">
                    <a:lumMod val="60000"/>
                  </a:schemeClr>
                </a:solidFill>
                <a:prstDash val="sysDot"/>
              </a:ln>
              <a:effectLst/>
            </c:spPr>
            <c:trendlineType val="linear"/>
            <c:dispRSqr val="1"/>
            <c:dispEq val="1"/>
            <c:trendlineLbl>
              <c:layout>
                <c:manualLayout>
                  <c:x val="9.0659877365436389E-2"/>
                  <c:y val="-0.12978944298629339"/>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trendlineLbl>
          </c:trendline>
          <c:xVal>
            <c:numRef>
              <c:f>Gasaufbereitungsanlagen!$B$15:$B$18</c:f>
              <c:numCache>
                <c:formatCode>#,##0"m³/h"</c:formatCode>
                <c:ptCount val="4"/>
                <c:pt idx="0">
                  <c:v>500</c:v>
                </c:pt>
                <c:pt idx="1">
                  <c:v>700</c:v>
                </c:pt>
                <c:pt idx="2">
                  <c:v>1400</c:v>
                </c:pt>
                <c:pt idx="3">
                  <c:v>2000</c:v>
                </c:pt>
              </c:numCache>
            </c:numRef>
          </c:xVal>
          <c:yVal>
            <c:numRef>
              <c:f>Gasaufbereitungsanlagen!$J$15:$J$18</c:f>
              <c:numCache>
                <c:formatCode>#,##0\ "€/Nm³/h";\-#,##0\ "€/Nm³/h"</c:formatCode>
                <c:ptCount val="4"/>
                <c:pt idx="0">
                  <c:v>2379.9659999999999</c:v>
                </c:pt>
                <c:pt idx="1">
                  <c:v>1978.4814285714285</c:v>
                </c:pt>
                <c:pt idx="2">
                  <c:v>2120.5257142857145</c:v>
                </c:pt>
                <c:pt idx="3">
                  <c:v>1884.2059999999999</c:v>
                </c:pt>
              </c:numCache>
            </c:numRef>
          </c:yVal>
          <c:smooth val="1"/>
          <c:extLst>
            <c:ext xmlns:c16="http://schemas.microsoft.com/office/drawing/2014/chart" uri="{C3380CC4-5D6E-409C-BE32-E72D297353CC}">
              <c16:uniqueId val="{00000002-F560-4709-8DC6-F175B2988DDC}"/>
            </c:ext>
          </c:extLst>
        </c:ser>
        <c:dLbls>
          <c:showLegendKey val="0"/>
          <c:showVal val="0"/>
          <c:showCatName val="0"/>
          <c:showSerName val="0"/>
          <c:showPercent val="0"/>
          <c:showBubbleSize val="0"/>
        </c:dLbls>
        <c:axId val="681802072"/>
        <c:axId val="681802400"/>
        <c:extLst>
          <c:ext xmlns:c15="http://schemas.microsoft.com/office/drawing/2012/chart" uri="{02D57815-91ED-43cb-92C2-25804820EDAC}">
            <c15:filteredScatterSeries>
              <c15: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extLst>
                      <c:ext uri="{02D57815-91ED-43cb-92C2-25804820EDAC}">
                        <c15:formulaRef>
                          <c15:sqref>Gasaufbereitungsanlagen!$B$15:$B$18</c15:sqref>
                        </c15:formulaRef>
                      </c:ext>
                    </c:extLst>
                    <c:numCache>
                      <c:formatCode>#,##0"m³/h"</c:formatCode>
                      <c:ptCount val="4"/>
                      <c:pt idx="0">
                        <c:v>500</c:v>
                      </c:pt>
                      <c:pt idx="1">
                        <c:v>700</c:v>
                      </c:pt>
                      <c:pt idx="2">
                        <c:v>1400</c:v>
                      </c:pt>
                      <c:pt idx="3">
                        <c:v>2000</c:v>
                      </c:pt>
                    </c:numCache>
                  </c:numRef>
                </c:xVal>
                <c:yVal>
                  <c:numRef>
                    <c:extLst>
                      <c:ext uri="{02D57815-91ED-43cb-92C2-25804820EDAC}">
                        <c15:formulaRef>
                          <c15:sqref>Gasaufbereitungsanlagen!$C$15:$C$18</c15:sqref>
                        </c15:formulaRef>
                      </c:ext>
                    </c:extLst>
                    <c:numCache>
                      <c:formatCode>_("€"* #,##0_);_("€"* \(#,##0\);_("€"* "-"_);_(@_)</c:formatCode>
                      <c:ptCount val="4"/>
                      <c:pt idx="0">
                        <c:v>1189983</c:v>
                      </c:pt>
                      <c:pt idx="1">
                        <c:v>1384937</c:v>
                      </c:pt>
                      <c:pt idx="2">
                        <c:v>2968736</c:v>
                      </c:pt>
                      <c:pt idx="3">
                        <c:v>3768412</c:v>
                      </c:pt>
                    </c:numCache>
                  </c:numRef>
                </c:yVal>
                <c:smooth val="1"/>
                <c:extLst>
                  <c:ext xmlns:c16="http://schemas.microsoft.com/office/drawing/2014/chart" uri="{C3380CC4-5D6E-409C-BE32-E72D297353CC}">
                    <c16:uniqueId val="{00000005-F560-4709-8DC6-F175B2988DDC}"/>
                  </c:ext>
                </c:extLst>
              </c15:ser>
            </c15:filteredScatterSeries>
            <c15:filteredScatterSeries>
              <c15:ser>
                <c:idx val="2"/>
                <c:order val="2"/>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extLst xmlns:c15="http://schemas.microsoft.com/office/drawing/2012/chart">
                      <c:ext xmlns:c15="http://schemas.microsoft.com/office/drawing/2012/chart" uri="{02D57815-91ED-43cb-92C2-25804820EDAC}">
                        <c15:formulaRef>
                          <c15:sqref>Gasaufbereitungsanlagen!$B$15:$B$18</c15:sqref>
                        </c15:formulaRef>
                      </c:ext>
                    </c:extLst>
                    <c:numCache>
                      <c:formatCode>#,##0"m³/h"</c:formatCode>
                      <c:ptCount val="4"/>
                      <c:pt idx="0">
                        <c:v>500</c:v>
                      </c:pt>
                      <c:pt idx="1">
                        <c:v>700</c:v>
                      </c:pt>
                      <c:pt idx="2">
                        <c:v>1400</c:v>
                      </c:pt>
                      <c:pt idx="3">
                        <c:v>2000</c:v>
                      </c:pt>
                    </c:numCache>
                  </c:numRef>
                </c:xVal>
                <c:yVal>
                  <c:numRef>
                    <c:extLst xmlns:c15="http://schemas.microsoft.com/office/drawing/2012/chart">
                      <c:ext xmlns:c15="http://schemas.microsoft.com/office/drawing/2012/chart" uri="{02D57815-91ED-43cb-92C2-25804820EDAC}">
                        <c15:formulaRef>
                          <c15:sqref>Gasaufbereitungsanlagen!$E$15:$E$18</c15:sqref>
                        </c15:formulaRef>
                      </c:ext>
                    </c:extLst>
                    <c:numCache>
                      <c:formatCode>0.000\ "ct/m³Rohgas"</c:formatCode>
                      <c:ptCount val="4"/>
                      <c:pt idx="0">
                        <c:v>0.30864766217020911</c:v>
                      </c:pt>
                      <c:pt idx="1">
                        <c:v>0.30740926276214964</c:v>
                      </c:pt>
                      <c:pt idx="2">
                        <c:v>0.30753024139639135</c:v>
                      </c:pt>
                      <c:pt idx="3">
                        <c:v>0.30810906668944432</c:v>
                      </c:pt>
                    </c:numCache>
                  </c:numRef>
                </c:yVal>
                <c:smooth val="1"/>
                <c:extLst xmlns:c15="http://schemas.microsoft.com/office/drawing/2012/chart">
                  <c:ext xmlns:c16="http://schemas.microsoft.com/office/drawing/2014/chart" uri="{C3380CC4-5D6E-409C-BE32-E72D297353CC}">
                    <c16:uniqueId val="{00000006-F560-4709-8DC6-F175B2988DDC}"/>
                  </c:ext>
                </c:extLst>
              </c15:ser>
            </c15:filteredScatterSeries>
            <c15:filteredScatterSeries>
              <c15:ser>
                <c:idx val="3"/>
                <c:order val="3"/>
                <c:spPr>
                  <a:ln w="19050" cap="rnd">
                    <a:solidFill>
                      <a:schemeClr val="accent4"/>
                    </a:solidFill>
                    <a:round/>
                  </a:ln>
                  <a:effectLst/>
                </c:spPr>
                <c:marker>
                  <c:symbol val="circle"/>
                  <c:size val="5"/>
                  <c:spPr>
                    <a:solidFill>
                      <a:schemeClr val="accent4"/>
                    </a:solidFill>
                    <a:ln w="9525">
                      <a:solidFill>
                        <a:schemeClr val="accent4"/>
                      </a:solidFill>
                    </a:ln>
                    <a:effectLst/>
                  </c:spPr>
                </c:marker>
                <c:xVal>
                  <c:numRef>
                    <c:extLst xmlns:c15="http://schemas.microsoft.com/office/drawing/2012/chart">
                      <c:ext xmlns:c15="http://schemas.microsoft.com/office/drawing/2012/chart" uri="{02D57815-91ED-43cb-92C2-25804820EDAC}">
                        <c15:formulaRef>
                          <c15:sqref>Gasaufbereitungsanlagen!$B$15:$B$18</c15:sqref>
                        </c15:formulaRef>
                      </c:ext>
                    </c:extLst>
                    <c:numCache>
                      <c:formatCode>#,##0"m³/h"</c:formatCode>
                      <c:ptCount val="4"/>
                      <c:pt idx="0">
                        <c:v>500</c:v>
                      </c:pt>
                      <c:pt idx="1">
                        <c:v>700</c:v>
                      </c:pt>
                      <c:pt idx="2">
                        <c:v>1400</c:v>
                      </c:pt>
                      <c:pt idx="3">
                        <c:v>2000</c:v>
                      </c:pt>
                    </c:numCache>
                  </c:numRef>
                </c:xVal>
                <c:yVal>
                  <c:numRef>
                    <c:extLst xmlns:c15="http://schemas.microsoft.com/office/drawing/2012/chart">
                      <c:ext xmlns:c15="http://schemas.microsoft.com/office/drawing/2012/chart" uri="{02D57815-91ED-43cb-92C2-25804820EDAC}">
                        <c15:formulaRef>
                          <c15:sqref>Gasaufbereitungsanlagen!$F$15:$F$18</c15:sqref>
                        </c15:formulaRef>
                      </c:ext>
                    </c:extLst>
                    <c:numCache>
                      <c:formatCode>0.000\ "ct/kWhRohgas"</c:formatCode>
                      <c:ptCount val="4"/>
                      <c:pt idx="0">
                        <c:v>0.30895661340530822</c:v>
                      </c:pt>
                      <c:pt idx="1">
                        <c:v>0.30771698223976029</c:v>
                      </c:pt>
                      <c:pt idx="2">
                        <c:v>0.30783807270493063</c:v>
                      </c:pt>
                      <c:pt idx="3">
                        <c:v>0.30841748334116986</c:v>
                      </c:pt>
                    </c:numCache>
                  </c:numRef>
                </c:yVal>
                <c:smooth val="1"/>
                <c:extLst xmlns:c15="http://schemas.microsoft.com/office/drawing/2012/chart">
                  <c:ext xmlns:c16="http://schemas.microsoft.com/office/drawing/2014/chart" uri="{C3380CC4-5D6E-409C-BE32-E72D297353CC}">
                    <c16:uniqueId val="{00000007-F560-4709-8DC6-F175B2988DDC}"/>
                  </c:ext>
                </c:extLst>
              </c15:ser>
            </c15:filteredScatterSeries>
            <c15:filteredScatterSeries>
              <c15:ser>
                <c:idx val="4"/>
                <c:order val="4"/>
                <c:spPr>
                  <a:ln w="19050" cap="rnd">
                    <a:solidFill>
                      <a:schemeClr val="accent5"/>
                    </a:solidFill>
                    <a:round/>
                  </a:ln>
                  <a:effectLst/>
                </c:spPr>
                <c:marker>
                  <c:symbol val="circle"/>
                  <c:size val="5"/>
                  <c:spPr>
                    <a:solidFill>
                      <a:schemeClr val="accent5"/>
                    </a:solidFill>
                    <a:ln w="9525">
                      <a:solidFill>
                        <a:schemeClr val="accent5"/>
                      </a:solidFill>
                    </a:ln>
                    <a:effectLst/>
                  </c:spPr>
                </c:marker>
                <c:xVal>
                  <c:numRef>
                    <c:extLst xmlns:c15="http://schemas.microsoft.com/office/drawing/2012/chart">
                      <c:ext xmlns:c15="http://schemas.microsoft.com/office/drawing/2012/chart" uri="{02D57815-91ED-43cb-92C2-25804820EDAC}">
                        <c15:formulaRef>
                          <c15:sqref>Gasaufbereitungsanlagen!$B$15:$B$18</c15:sqref>
                        </c15:formulaRef>
                      </c:ext>
                    </c:extLst>
                    <c:numCache>
                      <c:formatCode>#,##0"m³/h"</c:formatCode>
                      <c:ptCount val="4"/>
                      <c:pt idx="0">
                        <c:v>500</c:v>
                      </c:pt>
                      <c:pt idx="1">
                        <c:v>700</c:v>
                      </c:pt>
                      <c:pt idx="2">
                        <c:v>1400</c:v>
                      </c:pt>
                      <c:pt idx="3">
                        <c:v>2000</c:v>
                      </c:pt>
                    </c:numCache>
                  </c:numRef>
                </c:xVal>
                <c:yVal>
                  <c:numRef>
                    <c:extLst xmlns:c15="http://schemas.microsoft.com/office/drawing/2012/chart">
                      <c:ext xmlns:c15="http://schemas.microsoft.com/office/drawing/2012/chart" uri="{02D57815-91ED-43cb-92C2-25804820EDAC}">
                        <c15:formulaRef>
                          <c15:sqref>Gasaufbereitungsanlagen!$G$15:$G$18</c15:sqref>
                        </c15:formulaRef>
                      </c:ext>
                    </c:extLst>
                    <c:numCache>
                      <c:formatCode>0.00\ "kWh/m³BG"</c:formatCode>
                      <c:ptCount val="4"/>
                      <c:pt idx="0">
                        <c:v>0.09</c:v>
                      </c:pt>
                      <c:pt idx="1">
                        <c:v>0.09</c:v>
                      </c:pt>
                      <c:pt idx="2">
                        <c:v>0.09</c:v>
                      </c:pt>
                      <c:pt idx="3">
                        <c:v>0.09</c:v>
                      </c:pt>
                    </c:numCache>
                  </c:numRef>
                </c:yVal>
                <c:smooth val="1"/>
                <c:extLst xmlns:c15="http://schemas.microsoft.com/office/drawing/2012/chart">
                  <c:ext xmlns:c16="http://schemas.microsoft.com/office/drawing/2014/chart" uri="{C3380CC4-5D6E-409C-BE32-E72D297353CC}">
                    <c16:uniqueId val="{00000008-F560-4709-8DC6-F175B2988DDC}"/>
                  </c:ext>
                </c:extLst>
              </c15:ser>
            </c15:filteredScatterSeries>
            <c15:filteredScatterSeries>
              <c15:ser>
                <c:idx val="5"/>
                <c:order val="5"/>
                <c:spPr>
                  <a:ln w="19050" cap="rnd">
                    <a:solidFill>
                      <a:schemeClr val="accent6"/>
                    </a:solidFill>
                    <a:round/>
                  </a:ln>
                  <a:effectLst/>
                </c:spPr>
                <c:marker>
                  <c:symbol val="circle"/>
                  <c:size val="5"/>
                  <c:spPr>
                    <a:solidFill>
                      <a:schemeClr val="accent6"/>
                    </a:solidFill>
                    <a:ln w="9525">
                      <a:solidFill>
                        <a:schemeClr val="accent6"/>
                      </a:solidFill>
                    </a:ln>
                    <a:effectLst/>
                  </c:spPr>
                </c:marker>
                <c:xVal>
                  <c:numRef>
                    <c:extLst xmlns:c15="http://schemas.microsoft.com/office/drawing/2012/chart">
                      <c:ext xmlns:c15="http://schemas.microsoft.com/office/drawing/2012/chart" uri="{02D57815-91ED-43cb-92C2-25804820EDAC}">
                        <c15:formulaRef>
                          <c15:sqref>Gasaufbereitungsanlagen!$B$15:$B$18</c15:sqref>
                        </c15:formulaRef>
                      </c:ext>
                    </c:extLst>
                    <c:numCache>
                      <c:formatCode>#,##0"m³/h"</c:formatCode>
                      <c:ptCount val="4"/>
                      <c:pt idx="0">
                        <c:v>500</c:v>
                      </c:pt>
                      <c:pt idx="1">
                        <c:v>700</c:v>
                      </c:pt>
                      <c:pt idx="2">
                        <c:v>1400</c:v>
                      </c:pt>
                      <c:pt idx="3">
                        <c:v>2000</c:v>
                      </c:pt>
                    </c:numCache>
                  </c:numRef>
                </c:xVal>
                <c:yVal>
                  <c:numRef>
                    <c:extLst xmlns:c15="http://schemas.microsoft.com/office/drawing/2012/chart">
                      <c:ext xmlns:c15="http://schemas.microsoft.com/office/drawing/2012/chart" uri="{02D57815-91ED-43cb-92C2-25804820EDAC}">
                        <c15:formulaRef>
                          <c15:sqref>Gasaufbereitungsanlagen!$H$15:$H$18</c15:sqref>
                        </c15:formulaRef>
                      </c:ext>
                    </c:extLst>
                    <c:numCache>
                      <c:formatCode>#,##0.0000\ "€";\-#,##0.0000\ "€"</c:formatCode>
                      <c:ptCount val="4"/>
                      <c:pt idx="0">
                        <c:v>0.22054793367421757</c:v>
                      </c:pt>
                      <c:pt idx="1">
                        <c:v>0.22054796726380196</c:v>
                      </c:pt>
                      <c:pt idx="2">
                        <c:v>0.22054792973015602</c:v>
                      </c:pt>
                      <c:pt idx="3">
                        <c:v>0.22054793309093981</c:v>
                      </c:pt>
                    </c:numCache>
                  </c:numRef>
                </c:yVal>
                <c:smooth val="1"/>
                <c:extLst xmlns:c15="http://schemas.microsoft.com/office/drawing/2012/chart">
                  <c:ext xmlns:c16="http://schemas.microsoft.com/office/drawing/2014/chart" uri="{C3380CC4-5D6E-409C-BE32-E72D297353CC}">
                    <c16:uniqueId val="{00000009-F560-4709-8DC6-F175B2988DDC}"/>
                  </c:ext>
                </c:extLst>
              </c15:ser>
            </c15:filteredScatterSeries>
            <c15:filteredScatterSeries>
              <c15:ser>
                <c:idx val="6"/>
                <c:order val="6"/>
                <c:spPr>
                  <a:ln w="19050"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xVal>
                  <c:numRef>
                    <c:extLst xmlns:c15="http://schemas.microsoft.com/office/drawing/2012/chart">
                      <c:ext xmlns:c15="http://schemas.microsoft.com/office/drawing/2012/chart" uri="{02D57815-91ED-43cb-92C2-25804820EDAC}">
                        <c15:formulaRef>
                          <c15:sqref>Gasaufbereitungsanlagen!$B$15:$B$18</c15:sqref>
                        </c15:formulaRef>
                      </c:ext>
                    </c:extLst>
                    <c:numCache>
                      <c:formatCode>#,##0"m³/h"</c:formatCode>
                      <c:ptCount val="4"/>
                      <c:pt idx="0">
                        <c:v>500</c:v>
                      </c:pt>
                      <c:pt idx="1">
                        <c:v>700</c:v>
                      </c:pt>
                      <c:pt idx="2">
                        <c:v>1400</c:v>
                      </c:pt>
                      <c:pt idx="3">
                        <c:v>2000</c:v>
                      </c:pt>
                    </c:numCache>
                  </c:numRef>
                </c:xVal>
                <c:yVal>
                  <c:numRef>
                    <c:extLst xmlns:c15="http://schemas.microsoft.com/office/drawing/2012/chart">
                      <c:ext xmlns:c15="http://schemas.microsoft.com/office/drawing/2012/chart" uri="{02D57815-91ED-43cb-92C2-25804820EDAC}">
                        <c15:formulaRef>
                          <c15:sqref>Gasaufbereitungsanlagen!$I$15:$I$18</c15:sqref>
                        </c15:formulaRef>
                      </c:ext>
                    </c:extLst>
                    <c:numCache>
                      <c:formatCode>0.00%</c:formatCode>
                      <c:ptCount val="4"/>
                      <c:pt idx="0">
                        <c:v>9.9998259203415429E-4</c:v>
                      </c:pt>
                      <c:pt idx="1">
                        <c:v>1.0000081093050062E-3</c:v>
                      </c:pt>
                      <c:pt idx="2">
                        <c:v>9.9997802687123993E-4</c:v>
                      </c:pt>
                      <c:pt idx="3">
                        <c:v>9.9999730360400552E-4</c:v>
                      </c:pt>
                    </c:numCache>
                  </c:numRef>
                </c:yVal>
                <c:smooth val="1"/>
                <c:extLst xmlns:c15="http://schemas.microsoft.com/office/drawing/2012/chart">
                  <c:ext xmlns:c16="http://schemas.microsoft.com/office/drawing/2014/chart" uri="{C3380CC4-5D6E-409C-BE32-E72D297353CC}">
                    <c16:uniqueId val="{0000000A-F560-4709-8DC6-F175B2988DDC}"/>
                  </c:ext>
                </c:extLst>
              </c15:ser>
            </c15:filteredScatterSeries>
          </c:ext>
        </c:extLst>
      </c:scatterChart>
      <c:scatterChart>
        <c:scatterStyle val="smoothMarker"/>
        <c:varyColors val="0"/>
        <c:ser>
          <c:idx val="1"/>
          <c:order val="1"/>
          <c:tx>
            <c:strRef>
              <c:f>Gasaufbereitungsanlagen!$D$13</c:f>
              <c:strCache>
                <c:ptCount val="1"/>
                <c:pt idx="0">
                  <c:v>Anteil an Invest für Instandhaltung %</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1"/>
            <c:dispEq val="1"/>
            <c:trendlineLbl>
              <c:layout>
                <c:manualLayout>
                  <c:x val="3.3643235709026734E-2"/>
                  <c:y val="8.9688344512491497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trendlineLbl>
          </c:trendline>
          <c:xVal>
            <c:numRef>
              <c:f>Gasaufbereitungsanlagen!$B$15:$B$18</c:f>
              <c:numCache>
                <c:formatCode>#,##0"m³/h"</c:formatCode>
                <c:ptCount val="4"/>
                <c:pt idx="0">
                  <c:v>500</c:v>
                </c:pt>
                <c:pt idx="1">
                  <c:v>700</c:v>
                </c:pt>
                <c:pt idx="2">
                  <c:v>1400</c:v>
                </c:pt>
                <c:pt idx="3">
                  <c:v>2000</c:v>
                </c:pt>
              </c:numCache>
            </c:numRef>
          </c:xVal>
          <c:yVal>
            <c:numRef>
              <c:f>Gasaufbereitungsanlagen!$D$15:$D$18</c:f>
              <c:numCache>
                <c:formatCode>0.00%</c:formatCode>
                <c:ptCount val="4"/>
                <c:pt idx="0">
                  <c:v>4.770219406495723E-2</c:v>
                </c:pt>
                <c:pt idx="1">
                  <c:v>5.0156288697608631E-2</c:v>
                </c:pt>
                <c:pt idx="2">
                  <c:v>3.2916214173304731E-2</c:v>
                </c:pt>
                <c:pt idx="3">
                  <c:v>3.0796123141524863E-2</c:v>
                </c:pt>
              </c:numCache>
            </c:numRef>
          </c:yVal>
          <c:smooth val="1"/>
          <c:extLst>
            <c:ext xmlns:c16="http://schemas.microsoft.com/office/drawing/2014/chart" uri="{C3380CC4-5D6E-409C-BE32-E72D297353CC}">
              <c16:uniqueId val="{00000004-F560-4709-8DC6-F175B2988DDC}"/>
            </c:ext>
          </c:extLst>
        </c:ser>
        <c:dLbls>
          <c:showLegendKey val="0"/>
          <c:showVal val="0"/>
          <c:showCatName val="0"/>
          <c:showSerName val="0"/>
          <c:showPercent val="0"/>
          <c:showBubbleSize val="0"/>
        </c:dLbls>
        <c:axId val="720025424"/>
        <c:axId val="720028704"/>
      </c:scatterChart>
      <c:valAx>
        <c:axId val="681802072"/>
        <c:scaling>
          <c:orientation val="minMax"/>
        </c:scaling>
        <c:delete val="0"/>
        <c:axPos val="b"/>
        <c:majorGridlines>
          <c:spPr>
            <a:ln w="9525" cap="flat" cmpd="sng" algn="ctr">
              <a:solidFill>
                <a:schemeClr val="tx1">
                  <a:lumMod val="15000"/>
                  <a:lumOff val="85000"/>
                </a:schemeClr>
              </a:solidFill>
              <a:round/>
            </a:ln>
            <a:effectLst/>
          </c:spPr>
        </c:majorGridlines>
        <c:numFmt formatCode="#,##0&quot;m³/h&quot;"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1802400"/>
        <c:crosses val="autoZero"/>
        <c:crossBetween val="midCat"/>
      </c:valAx>
      <c:valAx>
        <c:axId val="681802400"/>
        <c:scaling>
          <c:orientation val="minMax"/>
        </c:scaling>
        <c:delete val="0"/>
        <c:axPos val="l"/>
        <c:majorGridlines>
          <c:spPr>
            <a:ln w="9525" cap="flat" cmpd="sng" algn="ctr">
              <a:solidFill>
                <a:schemeClr val="tx1">
                  <a:lumMod val="15000"/>
                  <a:lumOff val="85000"/>
                </a:schemeClr>
              </a:solidFill>
              <a:round/>
            </a:ln>
            <a:effectLst/>
          </c:spPr>
        </c:majorGridlines>
        <c:numFmt formatCode="#,##0\ &quot;€/Nm³/h&quot;;\-#,##0\ &quot;€/Nm³/h&quot;"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1802072"/>
        <c:crosses val="autoZero"/>
        <c:crossBetween val="midCat"/>
      </c:valAx>
      <c:valAx>
        <c:axId val="720028704"/>
        <c:scaling>
          <c:orientation val="minMax"/>
        </c:scaling>
        <c:delete val="0"/>
        <c:axPos val="r"/>
        <c:numFmt formatCode="0.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20025424"/>
        <c:crosses val="max"/>
        <c:crossBetween val="midCat"/>
      </c:valAx>
      <c:valAx>
        <c:axId val="720025424"/>
        <c:scaling>
          <c:orientation val="minMax"/>
        </c:scaling>
        <c:delete val="1"/>
        <c:axPos val="b"/>
        <c:numFmt formatCode="#,##0&quot;m³/h&quot;" sourceLinked="1"/>
        <c:majorTickMark val="out"/>
        <c:minorTickMark val="none"/>
        <c:tickLblPos val="nextTo"/>
        <c:crossAx val="72002870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Druckwasserwäsche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scatterChart>
        <c:scatterStyle val="smoothMarker"/>
        <c:varyColors val="0"/>
        <c:ser>
          <c:idx val="7"/>
          <c:order val="7"/>
          <c:tx>
            <c:strRef>
              <c:f>Gasaufbereitungsanlagen!$J$13</c:f>
              <c:strCache>
                <c:ptCount val="1"/>
                <c:pt idx="0">
                  <c:v>spez. Anschaffungskosten</c:v>
                </c:pt>
              </c:strCache>
            </c:strRef>
          </c:tx>
          <c:spPr>
            <a:ln w="19050"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trendline>
            <c:spPr>
              <a:ln w="19050" cap="rnd">
                <a:solidFill>
                  <a:schemeClr val="accent2">
                    <a:lumMod val="60000"/>
                  </a:schemeClr>
                </a:solidFill>
                <a:prstDash val="sysDot"/>
              </a:ln>
              <a:effectLst/>
            </c:spPr>
            <c:trendlineType val="power"/>
            <c:dispRSqr val="1"/>
            <c:dispEq val="1"/>
            <c:trendlineLbl>
              <c:layout>
                <c:manualLayout>
                  <c:x val="-0.17587548707273479"/>
                  <c:y val="5.6295913052075201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trendlineLbl>
          </c:trendline>
          <c:xVal>
            <c:numRef>
              <c:f>Gasaufbereitungsanlagen!$B$19:$B$22</c:f>
              <c:numCache>
                <c:formatCode>#,##0"m³/h"</c:formatCode>
                <c:ptCount val="4"/>
                <c:pt idx="0">
                  <c:v>350</c:v>
                </c:pt>
                <c:pt idx="1">
                  <c:v>700</c:v>
                </c:pt>
                <c:pt idx="2">
                  <c:v>1400</c:v>
                </c:pt>
                <c:pt idx="3">
                  <c:v>2000</c:v>
                </c:pt>
              </c:numCache>
            </c:numRef>
          </c:xVal>
          <c:yVal>
            <c:numRef>
              <c:f>Gasaufbereitungsanlagen!$J$19:$J$22</c:f>
              <c:numCache>
                <c:formatCode>#,##0\ "€/Nm³/h";\-#,##0\ "€/Nm³/h"</c:formatCode>
                <c:ptCount val="4"/>
                <c:pt idx="0">
                  <c:v>4125.6542857142858</c:v>
                </c:pt>
                <c:pt idx="1">
                  <c:v>3188.3057142857142</c:v>
                </c:pt>
                <c:pt idx="2">
                  <c:v>2069.4285714285716</c:v>
                </c:pt>
                <c:pt idx="3">
                  <c:v>1872.2635</c:v>
                </c:pt>
              </c:numCache>
            </c:numRef>
          </c:yVal>
          <c:smooth val="1"/>
          <c:extLst>
            <c:ext xmlns:c16="http://schemas.microsoft.com/office/drawing/2014/chart" uri="{C3380CC4-5D6E-409C-BE32-E72D297353CC}">
              <c16:uniqueId val="{00000001-3B63-4234-BC58-6C319B20DF7D}"/>
            </c:ext>
          </c:extLst>
        </c:ser>
        <c:dLbls>
          <c:showLegendKey val="0"/>
          <c:showVal val="0"/>
          <c:showCatName val="0"/>
          <c:showSerName val="0"/>
          <c:showPercent val="0"/>
          <c:showBubbleSize val="0"/>
        </c:dLbls>
        <c:axId val="514334256"/>
        <c:axId val="510466440"/>
        <c:extLst>
          <c:ext xmlns:c15="http://schemas.microsoft.com/office/drawing/2012/chart" uri="{02D57815-91ED-43cb-92C2-25804820EDAC}">
            <c15:filteredScatterSeries>
              <c15: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extLst>
                      <c:ext uri="{02D57815-91ED-43cb-92C2-25804820EDAC}">
                        <c15:formulaRef>
                          <c15:sqref>Gasaufbereitungsanlagen!$B$19:$B$22</c15:sqref>
                        </c15:formulaRef>
                      </c:ext>
                    </c:extLst>
                    <c:numCache>
                      <c:formatCode>#,##0"m³/h"</c:formatCode>
                      <c:ptCount val="4"/>
                      <c:pt idx="0">
                        <c:v>350</c:v>
                      </c:pt>
                      <c:pt idx="1">
                        <c:v>700</c:v>
                      </c:pt>
                      <c:pt idx="2">
                        <c:v>1400</c:v>
                      </c:pt>
                      <c:pt idx="3">
                        <c:v>2000</c:v>
                      </c:pt>
                    </c:numCache>
                  </c:numRef>
                </c:xVal>
                <c:yVal>
                  <c:numRef>
                    <c:extLst>
                      <c:ext uri="{02D57815-91ED-43cb-92C2-25804820EDAC}">
                        <c15:formulaRef>
                          <c15:sqref>Gasaufbereitungsanlagen!$C$19:$C$22</c15:sqref>
                        </c15:formulaRef>
                      </c:ext>
                    </c:extLst>
                    <c:numCache>
                      <c:formatCode>_("€"* #,##0_);_("€"* \(#,##0\);_("€"* "-"_);_(@_)</c:formatCode>
                      <c:ptCount val="4"/>
                      <c:pt idx="0">
                        <c:v>1443979</c:v>
                      </c:pt>
                      <c:pt idx="1">
                        <c:v>2231814</c:v>
                      </c:pt>
                      <c:pt idx="2">
                        <c:v>2897200</c:v>
                      </c:pt>
                      <c:pt idx="3">
                        <c:v>3744527</c:v>
                      </c:pt>
                    </c:numCache>
                  </c:numRef>
                </c:yVal>
                <c:smooth val="1"/>
                <c:extLst>
                  <c:ext xmlns:c16="http://schemas.microsoft.com/office/drawing/2014/chart" uri="{C3380CC4-5D6E-409C-BE32-E72D297353CC}">
                    <c16:uniqueId val="{00000004-3B63-4234-BC58-6C319B20DF7D}"/>
                  </c:ext>
                </c:extLst>
              </c15:ser>
            </c15:filteredScatterSeries>
            <c15:filteredScatterSeries>
              <c15:ser>
                <c:idx val="2"/>
                <c:order val="2"/>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extLst xmlns:c15="http://schemas.microsoft.com/office/drawing/2012/chart">
                      <c:ext xmlns:c15="http://schemas.microsoft.com/office/drawing/2012/chart" uri="{02D57815-91ED-43cb-92C2-25804820EDAC}">
                        <c15:formulaRef>
                          <c15:sqref>Gasaufbereitungsanlagen!$B$19:$B$22</c15:sqref>
                        </c15:formulaRef>
                      </c:ext>
                    </c:extLst>
                    <c:numCache>
                      <c:formatCode>#,##0"m³/h"</c:formatCode>
                      <c:ptCount val="4"/>
                      <c:pt idx="0">
                        <c:v>350</c:v>
                      </c:pt>
                      <c:pt idx="1">
                        <c:v>700</c:v>
                      </c:pt>
                      <c:pt idx="2">
                        <c:v>1400</c:v>
                      </c:pt>
                      <c:pt idx="3">
                        <c:v>2000</c:v>
                      </c:pt>
                    </c:numCache>
                  </c:numRef>
                </c:xVal>
                <c:yVal>
                  <c:numRef>
                    <c:extLst xmlns:c15="http://schemas.microsoft.com/office/drawing/2012/chart">
                      <c:ext xmlns:c15="http://schemas.microsoft.com/office/drawing/2012/chart" uri="{02D57815-91ED-43cb-92C2-25804820EDAC}">
                        <c15:formulaRef>
                          <c15:sqref>Gasaufbereitungsanlagen!$E$19:$E$22</c15:sqref>
                        </c15:formulaRef>
                      </c:ext>
                    </c:extLst>
                    <c:numCache>
                      <c:formatCode>0.000\ "ct/m³Rohgas"</c:formatCode>
                      <c:ptCount val="4"/>
                      <c:pt idx="0">
                        <c:v>0.85495422706179847</c:v>
                      </c:pt>
                      <c:pt idx="1">
                        <c:v>0.85495421774614933</c:v>
                      </c:pt>
                      <c:pt idx="2">
                        <c:v>0.8541150128824827</c:v>
                      </c:pt>
                      <c:pt idx="3">
                        <c:v>0.85425068039111196</c:v>
                      </c:pt>
                    </c:numCache>
                  </c:numRef>
                </c:yVal>
                <c:smooth val="1"/>
                <c:extLst xmlns:c15="http://schemas.microsoft.com/office/drawing/2012/chart">
                  <c:ext xmlns:c16="http://schemas.microsoft.com/office/drawing/2014/chart" uri="{C3380CC4-5D6E-409C-BE32-E72D297353CC}">
                    <c16:uniqueId val="{00000005-3B63-4234-BC58-6C319B20DF7D}"/>
                  </c:ext>
                </c:extLst>
              </c15:ser>
            </c15:filteredScatterSeries>
            <c15:filteredScatterSeries>
              <c15:ser>
                <c:idx val="3"/>
                <c:order val="3"/>
                <c:spPr>
                  <a:ln w="19050" cap="rnd">
                    <a:solidFill>
                      <a:schemeClr val="accent4"/>
                    </a:solidFill>
                    <a:round/>
                  </a:ln>
                  <a:effectLst/>
                </c:spPr>
                <c:marker>
                  <c:symbol val="circle"/>
                  <c:size val="5"/>
                  <c:spPr>
                    <a:solidFill>
                      <a:schemeClr val="accent4"/>
                    </a:solidFill>
                    <a:ln w="9525">
                      <a:solidFill>
                        <a:schemeClr val="accent4"/>
                      </a:solidFill>
                    </a:ln>
                    <a:effectLst/>
                  </c:spPr>
                </c:marker>
                <c:xVal>
                  <c:numRef>
                    <c:extLst xmlns:c15="http://schemas.microsoft.com/office/drawing/2012/chart">
                      <c:ext xmlns:c15="http://schemas.microsoft.com/office/drawing/2012/chart" uri="{02D57815-91ED-43cb-92C2-25804820EDAC}">
                        <c15:formulaRef>
                          <c15:sqref>Gasaufbereitungsanlagen!$B$19:$B$22</c15:sqref>
                        </c15:formulaRef>
                      </c:ext>
                    </c:extLst>
                    <c:numCache>
                      <c:formatCode>#,##0"m³/h"</c:formatCode>
                      <c:ptCount val="4"/>
                      <c:pt idx="0">
                        <c:v>350</c:v>
                      </c:pt>
                      <c:pt idx="1">
                        <c:v>700</c:v>
                      </c:pt>
                      <c:pt idx="2">
                        <c:v>1400</c:v>
                      </c:pt>
                      <c:pt idx="3">
                        <c:v>2000</c:v>
                      </c:pt>
                    </c:numCache>
                  </c:numRef>
                </c:xVal>
                <c:yVal>
                  <c:numRef>
                    <c:extLst xmlns:c15="http://schemas.microsoft.com/office/drawing/2012/chart">
                      <c:ext xmlns:c15="http://schemas.microsoft.com/office/drawing/2012/chart" uri="{02D57815-91ED-43cb-92C2-25804820EDAC}">
                        <c15:formulaRef>
                          <c15:sqref>Gasaufbereitungsanlagen!$F$19:$F$22</c15:sqref>
                        </c15:formulaRef>
                      </c:ext>
                    </c:extLst>
                    <c:numCache>
                      <c:formatCode>0.000\ "ct/kWhRohgas"</c:formatCode>
                      <c:ptCount val="4"/>
                      <c:pt idx="0">
                        <c:v>0.86359014966500303</c:v>
                      </c:pt>
                      <c:pt idx="1">
                        <c:v>0.86359012528160539</c:v>
                      </c:pt>
                      <c:pt idx="2">
                        <c:v>0.86274242980169524</c:v>
                      </c:pt>
                      <c:pt idx="3">
                        <c:v>0.86287947804584986</c:v>
                      </c:pt>
                    </c:numCache>
                  </c:numRef>
                </c:yVal>
                <c:smooth val="1"/>
                <c:extLst xmlns:c15="http://schemas.microsoft.com/office/drawing/2012/chart">
                  <c:ext xmlns:c16="http://schemas.microsoft.com/office/drawing/2014/chart" uri="{C3380CC4-5D6E-409C-BE32-E72D297353CC}">
                    <c16:uniqueId val="{00000006-3B63-4234-BC58-6C319B20DF7D}"/>
                  </c:ext>
                </c:extLst>
              </c15:ser>
            </c15:filteredScatterSeries>
            <c15:filteredScatterSeries>
              <c15:ser>
                <c:idx val="4"/>
                <c:order val="4"/>
                <c:spPr>
                  <a:ln w="19050" cap="rnd">
                    <a:solidFill>
                      <a:schemeClr val="accent5"/>
                    </a:solidFill>
                    <a:round/>
                  </a:ln>
                  <a:effectLst/>
                </c:spPr>
                <c:marker>
                  <c:symbol val="circle"/>
                  <c:size val="5"/>
                  <c:spPr>
                    <a:solidFill>
                      <a:schemeClr val="accent5"/>
                    </a:solidFill>
                    <a:ln w="9525">
                      <a:solidFill>
                        <a:schemeClr val="accent5"/>
                      </a:solidFill>
                    </a:ln>
                    <a:effectLst/>
                  </c:spPr>
                </c:marker>
                <c:xVal>
                  <c:numRef>
                    <c:extLst xmlns:c15="http://schemas.microsoft.com/office/drawing/2012/chart">
                      <c:ext xmlns:c15="http://schemas.microsoft.com/office/drawing/2012/chart" uri="{02D57815-91ED-43cb-92C2-25804820EDAC}">
                        <c15:formulaRef>
                          <c15:sqref>Gasaufbereitungsanlagen!$B$19:$B$22</c15:sqref>
                        </c15:formulaRef>
                      </c:ext>
                    </c:extLst>
                    <c:numCache>
                      <c:formatCode>#,##0"m³/h"</c:formatCode>
                      <c:ptCount val="4"/>
                      <c:pt idx="0">
                        <c:v>350</c:v>
                      </c:pt>
                      <c:pt idx="1">
                        <c:v>700</c:v>
                      </c:pt>
                      <c:pt idx="2">
                        <c:v>1400</c:v>
                      </c:pt>
                      <c:pt idx="3">
                        <c:v>2000</c:v>
                      </c:pt>
                    </c:numCache>
                  </c:numRef>
                </c:xVal>
                <c:yVal>
                  <c:numRef>
                    <c:extLst xmlns:c15="http://schemas.microsoft.com/office/drawing/2012/chart">
                      <c:ext xmlns:c15="http://schemas.microsoft.com/office/drawing/2012/chart" uri="{02D57815-91ED-43cb-92C2-25804820EDAC}">
                        <c15:formulaRef>
                          <c15:sqref>Gasaufbereitungsanlagen!$G$19:$G$22</c15:sqref>
                        </c15:formulaRef>
                      </c:ext>
                    </c:extLst>
                    <c:numCache>
                      <c:formatCode>0.00\ "kWh/m³BG"</c:formatCode>
                      <c:ptCount val="4"/>
                      <c:pt idx="0">
                        <c:v>0.25</c:v>
                      </c:pt>
                      <c:pt idx="1">
                        <c:v>0.25</c:v>
                      </c:pt>
                      <c:pt idx="2">
                        <c:v>0.25</c:v>
                      </c:pt>
                      <c:pt idx="3">
                        <c:v>0.25</c:v>
                      </c:pt>
                    </c:numCache>
                  </c:numRef>
                </c:yVal>
                <c:smooth val="1"/>
                <c:extLst xmlns:c15="http://schemas.microsoft.com/office/drawing/2012/chart">
                  <c:ext xmlns:c16="http://schemas.microsoft.com/office/drawing/2014/chart" uri="{C3380CC4-5D6E-409C-BE32-E72D297353CC}">
                    <c16:uniqueId val="{00000007-3B63-4234-BC58-6C319B20DF7D}"/>
                  </c:ext>
                </c:extLst>
              </c15:ser>
            </c15:filteredScatterSeries>
            <c15:filteredScatterSeries>
              <c15:ser>
                <c:idx val="5"/>
                <c:order val="5"/>
                <c:spPr>
                  <a:ln w="19050" cap="rnd">
                    <a:solidFill>
                      <a:schemeClr val="accent6"/>
                    </a:solidFill>
                    <a:round/>
                  </a:ln>
                  <a:effectLst/>
                </c:spPr>
                <c:marker>
                  <c:symbol val="circle"/>
                  <c:size val="5"/>
                  <c:spPr>
                    <a:solidFill>
                      <a:schemeClr val="accent6"/>
                    </a:solidFill>
                    <a:ln w="9525">
                      <a:solidFill>
                        <a:schemeClr val="accent6"/>
                      </a:solidFill>
                    </a:ln>
                    <a:effectLst/>
                  </c:spPr>
                </c:marker>
                <c:xVal>
                  <c:numRef>
                    <c:extLst xmlns:c15="http://schemas.microsoft.com/office/drawing/2012/chart">
                      <c:ext xmlns:c15="http://schemas.microsoft.com/office/drawing/2012/chart" uri="{02D57815-91ED-43cb-92C2-25804820EDAC}">
                        <c15:formulaRef>
                          <c15:sqref>Gasaufbereitungsanlagen!$B$19:$B$22</c15:sqref>
                        </c15:formulaRef>
                      </c:ext>
                    </c:extLst>
                    <c:numCache>
                      <c:formatCode>#,##0"m³/h"</c:formatCode>
                      <c:ptCount val="4"/>
                      <c:pt idx="0">
                        <c:v>350</c:v>
                      </c:pt>
                      <c:pt idx="1">
                        <c:v>700</c:v>
                      </c:pt>
                      <c:pt idx="2">
                        <c:v>1400</c:v>
                      </c:pt>
                      <c:pt idx="3">
                        <c:v>2000</c:v>
                      </c:pt>
                    </c:numCache>
                  </c:numRef>
                </c:xVal>
                <c:yVal>
                  <c:numRef>
                    <c:extLst xmlns:c15="http://schemas.microsoft.com/office/drawing/2012/chart">
                      <c:ext xmlns:c15="http://schemas.microsoft.com/office/drawing/2012/chart" uri="{02D57815-91ED-43cb-92C2-25804820EDAC}">
                        <c15:formulaRef>
                          <c15:sqref>Gasaufbereitungsanlagen!$H$19:$H$22</c15:sqref>
                        </c15:formulaRef>
                      </c:ext>
                    </c:extLst>
                    <c:numCache>
                      <c:formatCode>#,##0.0000\ "€";\-#,##0.0000\ "€"</c:formatCode>
                      <c:ptCount val="4"/>
                      <c:pt idx="0">
                        <c:v>0.22054789824352855</c:v>
                      </c:pt>
                      <c:pt idx="1">
                        <c:v>0.22054793357557645</c:v>
                      </c:pt>
                      <c:pt idx="2">
                        <c:v>0.22054794632776864</c:v>
                      </c:pt>
                      <c:pt idx="3">
                        <c:v>0.22054794657990259</c:v>
                      </c:pt>
                    </c:numCache>
                  </c:numRef>
                </c:yVal>
                <c:smooth val="1"/>
                <c:extLst xmlns:c15="http://schemas.microsoft.com/office/drawing/2012/chart">
                  <c:ext xmlns:c16="http://schemas.microsoft.com/office/drawing/2014/chart" uri="{C3380CC4-5D6E-409C-BE32-E72D297353CC}">
                    <c16:uniqueId val="{00000008-3B63-4234-BC58-6C319B20DF7D}"/>
                  </c:ext>
                </c:extLst>
              </c15:ser>
            </c15:filteredScatterSeries>
            <c15:filteredScatterSeries>
              <c15:ser>
                <c:idx val="6"/>
                <c:order val="6"/>
                <c:spPr>
                  <a:ln w="19050"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xVal>
                  <c:numRef>
                    <c:extLst xmlns:c15="http://schemas.microsoft.com/office/drawing/2012/chart">
                      <c:ext xmlns:c15="http://schemas.microsoft.com/office/drawing/2012/chart" uri="{02D57815-91ED-43cb-92C2-25804820EDAC}">
                        <c15:formulaRef>
                          <c15:sqref>Gasaufbereitungsanlagen!$B$19:$B$22</c15:sqref>
                        </c15:formulaRef>
                      </c:ext>
                    </c:extLst>
                    <c:numCache>
                      <c:formatCode>#,##0"m³/h"</c:formatCode>
                      <c:ptCount val="4"/>
                      <c:pt idx="0">
                        <c:v>350</c:v>
                      </c:pt>
                      <c:pt idx="1">
                        <c:v>700</c:v>
                      </c:pt>
                      <c:pt idx="2">
                        <c:v>1400</c:v>
                      </c:pt>
                      <c:pt idx="3">
                        <c:v>2000</c:v>
                      </c:pt>
                    </c:numCache>
                  </c:numRef>
                </c:xVal>
                <c:yVal>
                  <c:numRef>
                    <c:extLst xmlns:c15="http://schemas.microsoft.com/office/drawing/2012/chart">
                      <c:ext xmlns:c15="http://schemas.microsoft.com/office/drawing/2012/chart" uri="{02D57815-91ED-43cb-92C2-25804820EDAC}">
                        <c15:formulaRef>
                          <c15:sqref>Gasaufbereitungsanlagen!$I$19:$I$22</c15:sqref>
                        </c15:formulaRef>
                      </c:ext>
                    </c:extLst>
                    <c:numCache>
                      <c:formatCode>0.00%</c:formatCode>
                      <c:ptCount val="4"/>
                      <c:pt idx="0">
                        <c:v>1.0000024440475985E-2</c:v>
                      </c:pt>
                      <c:pt idx="1">
                        <c:v>1.0000007275025258E-2</c:v>
                      </c:pt>
                      <c:pt idx="2">
                        <c:v>9.9999914472685969E-3</c:v>
                      </c:pt>
                      <c:pt idx="3">
                        <c:v>1.0000003331032348E-2</c:v>
                      </c:pt>
                    </c:numCache>
                  </c:numRef>
                </c:yVal>
                <c:smooth val="1"/>
                <c:extLst xmlns:c15="http://schemas.microsoft.com/office/drawing/2012/chart">
                  <c:ext xmlns:c16="http://schemas.microsoft.com/office/drawing/2014/chart" uri="{C3380CC4-5D6E-409C-BE32-E72D297353CC}">
                    <c16:uniqueId val="{00000009-3B63-4234-BC58-6C319B20DF7D}"/>
                  </c:ext>
                </c:extLst>
              </c15:ser>
            </c15:filteredScatterSeries>
          </c:ext>
        </c:extLst>
      </c:scatterChart>
      <c:scatterChart>
        <c:scatterStyle val="smoothMarker"/>
        <c:varyColors val="0"/>
        <c:ser>
          <c:idx val="1"/>
          <c:order val="1"/>
          <c:tx>
            <c:strRef>
              <c:f>Gasaufbereitungsanlagen!$D$13</c:f>
              <c:strCache>
                <c:ptCount val="1"/>
                <c:pt idx="0">
                  <c:v>Anteil an Invest für Instandhaltung %</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1"/>
            <c:dispEq val="1"/>
            <c:trendlineLbl>
              <c:layout>
                <c:manualLayout>
                  <c:x val="4.1077004960961935E-2"/>
                  <c:y val="-8.4813928924377766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trendlineLbl>
          </c:trendline>
          <c:xVal>
            <c:numRef>
              <c:f>Gasaufbereitungsanlagen!$B$19:$B$22</c:f>
              <c:numCache>
                <c:formatCode>#,##0"m³/h"</c:formatCode>
                <c:ptCount val="4"/>
                <c:pt idx="0">
                  <c:v>350</c:v>
                </c:pt>
                <c:pt idx="1">
                  <c:v>700</c:v>
                </c:pt>
                <c:pt idx="2">
                  <c:v>1400</c:v>
                </c:pt>
                <c:pt idx="3">
                  <c:v>2000</c:v>
                </c:pt>
              </c:numCache>
            </c:numRef>
          </c:xVal>
          <c:yVal>
            <c:numRef>
              <c:f>Gasaufbereitungsanlagen!$D$19:$D$22</c:f>
              <c:numCache>
                <c:formatCode>0.00%</c:formatCode>
                <c:ptCount val="4"/>
                <c:pt idx="0">
                  <c:v>1.6103101222386198E-2</c:v>
                </c:pt>
                <c:pt idx="1">
                  <c:v>1.608959796828947E-2</c:v>
                </c:pt>
                <c:pt idx="2">
                  <c:v>2.0318652492061301E-2</c:v>
                </c:pt>
                <c:pt idx="3">
                  <c:v>2.0212539527689342E-2</c:v>
                </c:pt>
              </c:numCache>
            </c:numRef>
          </c:yVal>
          <c:smooth val="1"/>
          <c:extLst>
            <c:ext xmlns:c16="http://schemas.microsoft.com/office/drawing/2014/chart" uri="{C3380CC4-5D6E-409C-BE32-E72D297353CC}">
              <c16:uniqueId val="{00000003-3B63-4234-BC58-6C319B20DF7D}"/>
            </c:ext>
          </c:extLst>
        </c:ser>
        <c:dLbls>
          <c:showLegendKey val="0"/>
          <c:showVal val="0"/>
          <c:showCatName val="0"/>
          <c:showSerName val="0"/>
          <c:showPercent val="0"/>
          <c:showBubbleSize val="0"/>
        </c:dLbls>
        <c:axId val="686529216"/>
        <c:axId val="686541352"/>
      </c:scatterChart>
      <c:valAx>
        <c:axId val="514334256"/>
        <c:scaling>
          <c:orientation val="minMax"/>
        </c:scaling>
        <c:delete val="0"/>
        <c:axPos val="b"/>
        <c:majorGridlines>
          <c:spPr>
            <a:ln w="9525" cap="flat" cmpd="sng" algn="ctr">
              <a:solidFill>
                <a:schemeClr val="tx1">
                  <a:lumMod val="15000"/>
                  <a:lumOff val="85000"/>
                </a:schemeClr>
              </a:solidFill>
              <a:round/>
            </a:ln>
            <a:effectLst/>
          </c:spPr>
        </c:majorGridlines>
        <c:numFmt formatCode="#,##0&quot;m³/h&quot;"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10466440"/>
        <c:crosses val="autoZero"/>
        <c:crossBetween val="midCat"/>
      </c:valAx>
      <c:valAx>
        <c:axId val="510466440"/>
        <c:scaling>
          <c:orientation val="minMax"/>
        </c:scaling>
        <c:delete val="0"/>
        <c:axPos val="l"/>
        <c:majorGridlines>
          <c:spPr>
            <a:ln w="9525" cap="flat" cmpd="sng" algn="ctr">
              <a:solidFill>
                <a:schemeClr val="tx1">
                  <a:lumMod val="15000"/>
                  <a:lumOff val="85000"/>
                </a:schemeClr>
              </a:solidFill>
              <a:round/>
            </a:ln>
            <a:effectLst/>
          </c:spPr>
        </c:majorGridlines>
        <c:numFmt formatCode="#,##0\ &quot;€/Nm³/h&quot;;\-#,##0\ &quot;€/Nm³/h&quot;"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14334256"/>
        <c:crosses val="autoZero"/>
        <c:crossBetween val="midCat"/>
      </c:valAx>
      <c:valAx>
        <c:axId val="686541352"/>
        <c:scaling>
          <c:orientation val="minMax"/>
        </c:scaling>
        <c:delete val="0"/>
        <c:axPos val="r"/>
        <c:numFmt formatCode="0.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6529216"/>
        <c:crosses val="max"/>
        <c:crossBetween val="midCat"/>
      </c:valAx>
      <c:valAx>
        <c:axId val="686529216"/>
        <c:scaling>
          <c:orientation val="minMax"/>
        </c:scaling>
        <c:delete val="1"/>
        <c:axPos val="b"/>
        <c:numFmt formatCode="#,##0&quot;m³/h&quot;" sourceLinked="1"/>
        <c:majorTickMark val="out"/>
        <c:minorTickMark val="none"/>
        <c:tickLblPos val="nextTo"/>
        <c:crossAx val="68654135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Druckwechseladsorbtion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scatterChart>
        <c:scatterStyle val="smoothMarker"/>
        <c:varyColors val="0"/>
        <c:ser>
          <c:idx val="7"/>
          <c:order val="7"/>
          <c:tx>
            <c:strRef>
              <c:f>Gasaufbereitungsanlagen!$J$13</c:f>
              <c:strCache>
                <c:ptCount val="1"/>
                <c:pt idx="0">
                  <c:v>spez. Anschaffungskosten</c:v>
                </c:pt>
              </c:strCache>
            </c:strRef>
          </c:tx>
          <c:spPr>
            <a:ln w="19050"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trendline>
            <c:spPr>
              <a:ln w="19050" cap="rnd">
                <a:solidFill>
                  <a:schemeClr val="accent2">
                    <a:lumMod val="60000"/>
                  </a:schemeClr>
                </a:solidFill>
                <a:prstDash val="sysDot"/>
              </a:ln>
              <a:effectLst/>
            </c:spPr>
            <c:trendlineType val="power"/>
            <c:dispRSqr val="1"/>
            <c:dispEq val="1"/>
            <c:trendlineLbl>
              <c:layout>
                <c:manualLayout>
                  <c:x val="-0.29811997216640873"/>
                  <c:y val="5.3377893651544188E-3"/>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trendlineLbl>
          </c:trendline>
          <c:xVal>
            <c:numRef>
              <c:f>Gasaufbereitungsanlagen!$B$23:$B$27</c:f>
              <c:numCache>
                <c:formatCode>#,##0"m³/h"</c:formatCode>
                <c:ptCount val="5"/>
                <c:pt idx="0">
                  <c:v>400</c:v>
                </c:pt>
                <c:pt idx="1">
                  <c:v>700</c:v>
                </c:pt>
                <c:pt idx="2">
                  <c:v>1400</c:v>
                </c:pt>
                <c:pt idx="3">
                  <c:v>2000</c:v>
                </c:pt>
                <c:pt idx="4">
                  <c:v>2800</c:v>
                </c:pt>
              </c:numCache>
            </c:numRef>
          </c:xVal>
          <c:yVal>
            <c:numRef>
              <c:f>Gasaufbereitungsanlagen!$J$23:$J$27</c:f>
              <c:numCache>
                <c:formatCode>#,##0\ "€/Nm³/h";\-#,##0\ "€/Nm³/h"</c:formatCode>
                <c:ptCount val="5"/>
                <c:pt idx="0">
                  <c:v>5299.4750000000004</c:v>
                </c:pt>
                <c:pt idx="1">
                  <c:v>3267.1471428571431</c:v>
                </c:pt>
                <c:pt idx="2">
                  <c:v>2105.7550000000001</c:v>
                </c:pt>
                <c:pt idx="3">
                  <c:v>1804.5554999999999</c:v>
                </c:pt>
                <c:pt idx="4">
                  <c:v>1321.2410714285713</c:v>
                </c:pt>
              </c:numCache>
            </c:numRef>
          </c:yVal>
          <c:smooth val="1"/>
          <c:extLst>
            <c:ext xmlns:c16="http://schemas.microsoft.com/office/drawing/2014/chart" uri="{C3380CC4-5D6E-409C-BE32-E72D297353CC}">
              <c16:uniqueId val="{00000001-8CF8-4A67-A83D-CA6BD5580CDB}"/>
            </c:ext>
          </c:extLst>
        </c:ser>
        <c:dLbls>
          <c:showLegendKey val="0"/>
          <c:showVal val="0"/>
          <c:showCatName val="0"/>
          <c:showSerName val="0"/>
          <c:showPercent val="0"/>
          <c:showBubbleSize val="0"/>
        </c:dLbls>
        <c:axId val="682065176"/>
        <c:axId val="682062552"/>
        <c:extLst>
          <c:ext xmlns:c15="http://schemas.microsoft.com/office/drawing/2012/chart" uri="{02D57815-91ED-43cb-92C2-25804820EDAC}">
            <c15:filteredScatterSeries>
              <c15: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extLst>
                      <c:ext uri="{02D57815-91ED-43cb-92C2-25804820EDAC}">
                        <c15:formulaRef>
                          <c15:sqref>Gasaufbereitungsanlagen!$B$23:$B$27</c15:sqref>
                        </c15:formulaRef>
                      </c:ext>
                    </c:extLst>
                    <c:numCache>
                      <c:formatCode>#,##0"m³/h"</c:formatCode>
                      <c:ptCount val="5"/>
                      <c:pt idx="0">
                        <c:v>400</c:v>
                      </c:pt>
                      <c:pt idx="1">
                        <c:v>700</c:v>
                      </c:pt>
                      <c:pt idx="2">
                        <c:v>1400</c:v>
                      </c:pt>
                      <c:pt idx="3">
                        <c:v>2000</c:v>
                      </c:pt>
                      <c:pt idx="4">
                        <c:v>2800</c:v>
                      </c:pt>
                    </c:numCache>
                  </c:numRef>
                </c:xVal>
                <c:yVal>
                  <c:numRef>
                    <c:extLst>
                      <c:ext uri="{02D57815-91ED-43cb-92C2-25804820EDAC}">
                        <c15:formulaRef>
                          <c15:sqref>Gasaufbereitungsanlagen!$C$23:$C$27</c15:sqref>
                        </c15:formulaRef>
                      </c:ext>
                    </c:extLst>
                    <c:numCache>
                      <c:formatCode>_("€"* #,##0_);_("€"* \(#,##0\);_("€"* "-"_);_(@_)</c:formatCode>
                      <c:ptCount val="5"/>
                      <c:pt idx="0">
                        <c:v>2119790</c:v>
                      </c:pt>
                      <c:pt idx="1">
                        <c:v>2287003</c:v>
                      </c:pt>
                      <c:pt idx="2">
                        <c:v>2948057</c:v>
                      </c:pt>
                      <c:pt idx="3">
                        <c:v>3609111</c:v>
                      </c:pt>
                      <c:pt idx="4">
                        <c:v>3699475</c:v>
                      </c:pt>
                    </c:numCache>
                  </c:numRef>
                </c:yVal>
                <c:smooth val="1"/>
                <c:extLst>
                  <c:ext xmlns:c16="http://schemas.microsoft.com/office/drawing/2014/chart" uri="{C3380CC4-5D6E-409C-BE32-E72D297353CC}">
                    <c16:uniqueId val="{00000004-8CF8-4A67-A83D-CA6BD5580CDB}"/>
                  </c:ext>
                </c:extLst>
              </c15:ser>
            </c15:filteredScatterSeries>
            <c15:filteredScatterSeries>
              <c15:ser>
                <c:idx val="2"/>
                <c:order val="2"/>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extLst xmlns:c15="http://schemas.microsoft.com/office/drawing/2012/chart">
                      <c:ext xmlns:c15="http://schemas.microsoft.com/office/drawing/2012/chart" uri="{02D57815-91ED-43cb-92C2-25804820EDAC}">
                        <c15:formulaRef>
                          <c15:sqref>Gasaufbereitungsanlagen!$B$23:$B$27</c15:sqref>
                        </c15:formulaRef>
                      </c:ext>
                    </c:extLst>
                    <c:numCache>
                      <c:formatCode>#,##0"m³/h"</c:formatCode>
                      <c:ptCount val="5"/>
                      <c:pt idx="0">
                        <c:v>400</c:v>
                      </c:pt>
                      <c:pt idx="1">
                        <c:v>700</c:v>
                      </c:pt>
                      <c:pt idx="2">
                        <c:v>1400</c:v>
                      </c:pt>
                      <c:pt idx="3">
                        <c:v>2000</c:v>
                      </c:pt>
                      <c:pt idx="4">
                        <c:v>2800</c:v>
                      </c:pt>
                    </c:numCache>
                  </c:numRef>
                </c:xVal>
                <c:yVal>
                  <c:numRef>
                    <c:extLst xmlns:c15="http://schemas.microsoft.com/office/drawing/2012/chart">
                      <c:ext xmlns:c15="http://schemas.microsoft.com/office/drawing/2012/chart" uri="{02D57815-91ED-43cb-92C2-25804820EDAC}">
                        <c15:formulaRef>
                          <c15:sqref>Gasaufbereitungsanlagen!$E$23:$E$27</c15:sqref>
                        </c15:formulaRef>
                      </c:ext>
                    </c:extLst>
                    <c:numCache>
                      <c:formatCode>0.000\ "ct/m³Rohgas"</c:formatCode>
                      <c:ptCount val="5"/>
                      <c:pt idx="0">
                        <c:v>0.8523734123653034</c:v>
                      </c:pt>
                      <c:pt idx="1">
                        <c:v>0.85495426266165975</c:v>
                      </c:pt>
                      <c:pt idx="2">
                        <c:v>0.85495424620778548</c:v>
                      </c:pt>
                      <c:pt idx="3">
                        <c:v>0.85425068039111196</c:v>
                      </c:pt>
                      <c:pt idx="4">
                        <c:v>0.85585853618434082</c:v>
                      </c:pt>
                    </c:numCache>
                  </c:numRef>
                </c:yVal>
                <c:smooth val="1"/>
                <c:extLst xmlns:c15="http://schemas.microsoft.com/office/drawing/2012/chart">
                  <c:ext xmlns:c16="http://schemas.microsoft.com/office/drawing/2014/chart" uri="{C3380CC4-5D6E-409C-BE32-E72D297353CC}">
                    <c16:uniqueId val="{00000005-8CF8-4A67-A83D-CA6BD5580CDB}"/>
                  </c:ext>
                </c:extLst>
              </c15:ser>
            </c15:filteredScatterSeries>
            <c15:filteredScatterSeries>
              <c15:ser>
                <c:idx val="3"/>
                <c:order val="3"/>
                <c:spPr>
                  <a:ln w="19050" cap="rnd">
                    <a:solidFill>
                      <a:schemeClr val="accent4"/>
                    </a:solidFill>
                    <a:round/>
                  </a:ln>
                  <a:effectLst/>
                </c:spPr>
                <c:marker>
                  <c:symbol val="circle"/>
                  <c:size val="5"/>
                  <c:spPr>
                    <a:solidFill>
                      <a:schemeClr val="accent4"/>
                    </a:solidFill>
                    <a:ln w="9525">
                      <a:solidFill>
                        <a:schemeClr val="accent4"/>
                      </a:solidFill>
                    </a:ln>
                    <a:effectLst/>
                  </c:spPr>
                </c:marker>
                <c:xVal>
                  <c:numRef>
                    <c:extLst xmlns:c15="http://schemas.microsoft.com/office/drawing/2012/chart">
                      <c:ext xmlns:c15="http://schemas.microsoft.com/office/drawing/2012/chart" uri="{02D57815-91ED-43cb-92C2-25804820EDAC}">
                        <c15:formulaRef>
                          <c15:sqref>Gasaufbereitungsanlagen!$B$23:$B$27</c15:sqref>
                        </c15:formulaRef>
                      </c:ext>
                    </c:extLst>
                    <c:numCache>
                      <c:formatCode>#,##0"m³/h"</c:formatCode>
                      <c:ptCount val="5"/>
                      <c:pt idx="0">
                        <c:v>400</c:v>
                      </c:pt>
                      <c:pt idx="1">
                        <c:v>700</c:v>
                      </c:pt>
                      <c:pt idx="2">
                        <c:v>1400</c:v>
                      </c:pt>
                      <c:pt idx="3">
                        <c:v>2000</c:v>
                      </c:pt>
                      <c:pt idx="4">
                        <c:v>2800</c:v>
                      </c:pt>
                    </c:numCache>
                  </c:numRef>
                </c:xVal>
                <c:yVal>
                  <c:numRef>
                    <c:extLst xmlns:c15="http://schemas.microsoft.com/office/drawing/2012/chart">
                      <c:ext xmlns:c15="http://schemas.microsoft.com/office/drawing/2012/chart" uri="{02D57815-91ED-43cb-92C2-25804820EDAC}">
                        <c15:formulaRef>
                          <c15:sqref>Gasaufbereitungsanlagen!$F$23:$F$27</c15:sqref>
                        </c15:formulaRef>
                      </c:ext>
                    </c:extLst>
                    <c:numCache>
                      <c:formatCode>0.000\ "ct/kWhRohgas"</c:formatCode>
                      <c:ptCount val="5"/>
                      <c:pt idx="0">
                        <c:v>0.8653537331741521</c:v>
                      </c:pt>
                      <c:pt idx="1">
                        <c:v>0.86797385971297603</c:v>
                      </c:pt>
                      <c:pt idx="2">
                        <c:v>0.86797385715358755</c:v>
                      </c:pt>
                      <c:pt idx="3">
                        <c:v>0.86725956862421416</c:v>
                      </c:pt>
                      <c:pt idx="4">
                        <c:v>0.86889190714148046</c:v>
                      </c:pt>
                    </c:numCache>
                  </c:numRef>
                </c:yVal>
                <c:smooth val="1"/>
                <c:extLst xmlns:c15="http://schemas.microsoft.com/office/drawing/2012/chart">
                  <c:ext xmlns:c16="http://schemas.microsoft.com/office/drawing/2014/chart" uri="{C3380CC4-5D6E-409C-BE32-E72D297353CC}">
                    <c16:uniqueId val="{00000006-8CF8-4A67-A83D-CA6BD5580CDB}"/>
                  </c:ext>
                </c:extLst>
              </c15:ser>
            </c15:filteredScatterSeries>
            <c15:filteredScatterSeries>
              <c15:ser>
                <c:idx val="4"/>
                <c:order val="4"/>
                <c:spPr>
                  <a:ln w="19050" cap="rnd">
                    <a:solidFill>
                      <a:schemeClr val="accent5"/>
                    </a:solidFill>
                    <a:round/>
                  </a:ln>
                  <a:effectLst/>
                </c:spPr>
                <c:marker>
                  <c:symbol val="circle"/>
                  <c:size val="5"/>
                  <c:spPr>
                    <a:solidFill>
                      <a:schemeClr val="accent5"/>
                    </a:solidFill>
                    <a:ln w="9525">
                      <a:solidFill>
                        <a:schemeClr val="accent5"/>
                      </a:solidFill>
                    </a:ln>
                    <a:effectLst/>
                  </c:spPr>
                </c:marker>
                <c:xVal>
                  <c:numRef>
                    <c:extLst xmlns:c15="http://schemas.microsoft.com/office/drawing/2012/chart">
                      <c:ext xmlns:c15="http://schemas.microsoft.com/office/drawing/2012/chart" uri="{02D57815-91ED-43cb-92C2-25804820EDAC}">
                        <c15:formulaRef>
                          <c15:sqref>Gasaufbereitungsanlagen!$B$23:$B$27</c15:sqref>
                        </c15:formulaRef>
                      </c:ext>
                    </c:extLst>
                    <c:numCache>
                      <c:formatCode>#,##0"m³/h"</c:formatCode>
                      <c:ptCount val="5"/>
                      <c:pt idx="0">
                        <c:v>400</c:v>
                      </c:pt>
                      <c:pt idx="1">
                        <c:v>700</c:v>
                      </c:pt>
                      <c:pt idx="2">
                        <c:v>1400</c:v>
                      </c:pt>
                      <c:pt idx="3">
                        <c:v>2000</c:v>
                      </c:pt>
                      <c:pt idx="4">
                        <c:v>2800</c:v>
                      </c:pt>
                    </c:numCache>
                  </c:numRef>
                </c:xVal>
                <c:yVal>
                  <c:numRef>
                    <c:extLst xmlns:c15="http://schemas.microsoft.com/office/drawing/2012/chart">
                      <c:ext xmlns:c15="http://schemas.microsoft.com/office/drawing/2012/chart" uri="{02D57815-91ED-43cb-92C2-25804820EDAC}">
                        <c15:formulaRef>
                          <c15:sqref>Gasaufbereitungsanlagen!$G$23:$G$27</c15:sqref>
                        </c15:formulaRef>
                      </c:ext>
                    </c:extLst>
                    <c:numCache>
                      <c:formatCode>0.00\ "kWh/m³BG"</c:formatCode>
                      <c:ptCount val="5"/>
                      <c:pt idx="0">
                        <c:v>0.25</c:v>
                      </c:pt>
                      <c:pt idx="1">
                        <c:v>0.25</c:v>
                      </c:pt>
                      <c:pt idx="2">
                        <c:v>0.25</c:v>
                      </c:pt>
                      <c:pt idx="3">
                        <c:v>0.25</c:v>
                      </c:pt>
                      <c:pt idx="4">
                        <c:v>0.25</c:v>
                      </c:pt>
                    </c:numCache>
                  </c:numRef>
                </c:yVal>
                <c:smooth val="1"/>
                <c:extLst xmlns:c15="http://schemas.microsoft.com/office/drawing/2012/chart">
                  <c:ext xmlns:c16="http://schemas.microsoft.com/office/drawing/2014/chart" uri="{C3380CC4-5D6E-409C-BE32-E72D297353CC}">
                    <c16:uniqueId val="{00000007-8CF8-4A67-A83D-CA6BD5580CDB}"/>
                  </c:ext>
                </c:extLst>
              </c15:ser>
            </c15:filteredScatterSeries>
            <c15:filteredScatterSeries>
              <c15:ser>
                <c:idx val="5"/>
                <c:order val="5"/>
                <c:spPr>
                  <a:ln w="19050" cap="rnd">
                    <a:solidFill>
                      <a:schemeClr val="accent6"/>
                    </a:solidFill>
                    <a:round/>
                  </a:ln>
                  <a:effectLst/>
                </c:spPr>
                <c:marker>
                  <c:symbol val="circle"/>
                  <c:size val="5"/>
                  <c:spPr>
                    <a:solidFill>
                      <a:schemeClr val="accent6"/>
                    </a:solidFill>
                    <a:ln w="9525">
                      <a:solidFill>
                        <a:schemeClr val="accent6"/>
                      </a:solidFill>
                    </a:ln>
                    <a:effectLst/>
                  </c:spPr>
                </c:marker>
                <c:xVal>
                  <c:numRef>
                    <c:extLst xmlns:c15="http://schemas.microsoft.com/office/drawing/2012/chart">
                      <c:ext xmlns:c15="http://schemas.microsoft.com/office/drawing/2012/chart" uri="{02D57815-91ED-43cb-92C2-25804820EDAC}">
                        <c15:formulaRef>
                          <c15:sqref>Gasaufbereitungsanlagen!$B$23:$B$27</c15:sqref>
                        </c15:formulaRef>
                      </c:ext>
                    </c:extLst>
                    <c:numCache>
                      <c:formatCode>#,##0"m³/h"</c:formatCode>
                      <c:ptCount val="5"/>
                      <c:pt idx="0">
                        <c:v>400</c:v>
                      </c:pt>
                      <c:pt idx="1">
                        <c:v>700</c:v>
                      </c:pt>
                      <c:pt idx="2">
                        <c:v>1400</c:v>
                      </c:pt>
                      <c:pt idx="3">
                        <c:v>2000</c:v>
                      </c:pt>
                      <c:pt idx="4">
                        <c:v>2800</c:v>
                      </c:pt>
                    </c:numCache>
                  </c:numRef>
                </c:xVal>
                <c:yVal>
                  <c:numRef>
                    <c:extLst xmlns:c15="http://schemas.microsoft.com/office/drawing/2012/chart">
                      <c:ext xmlns:c15="http://schemas.microsoft.com/office/drawing/2012/chart" uri="{02D57815-91ED-43cb-92C2-25804820EDAC}">
                        <c15:formulaRef>
                          <c15:sqref>Gasaufbereitungsanlagen!$H$23:$H$27</c15:sqref>
                        </c15:formulaRef>
                      </c:ext>
                    </c:extLst>
                    <c:numCache>
                      <c:formatCode>#,##0.0000\ "€";\-#,##0.0000\ "€"</c:formatCode>
                      <c:ptCount val="5"/>
                      <c:pt idx="0">
                        <c:v>0.22054792161301037</c:v>
                      </c:pt>
                      <c:pt idx="1">
                        <c:v>0.22054791938162496</c:v>
                      </c:pt>
                      <c:pt idx="2">
                        <c:v>0.22054794375461825</c:v>
                      </c:pt>
                      <c:pt idx="3">
                        <c:v>0.22054794657990259</c:v>
                      </c:pt>
                      <c:pt idx="4">
                        <c:v>0.22054793760559102</c:v>
                      </c:pt>
                    </c:numCache>
                  </c:numRef>
                </c:yVal>
                <c:smooth val="1"/>
                <c:extLst xmlns:c15="http://schemas.microsoft.com/office/drawing/2012/chart">
                  <c:ext xmlns:c16="http://schemas.microsoft.com/office/drawing/2014/chart" uri="{C3380CC4-5D6E-409C-BE32-E72D297353CC}">
                    <c16:uniqueId val="{00000008-8CF8-4A67-A83D-CA6BD5580CDB}"/>
                  </c:ext>
                </c:extLst>
              </c15:ser>
            </c15:filteredScatterSeries>
            <c15:filteredScatterSeries>
              <c15:ser>
                <c:idx val="6"/>
                <c:order val="6"/>
                <c:spPr>
                  <a:ln w="19050"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xVal>
                  <c:numRef>
                    <c:extLst xmlns:c15="http://schemas.microsoft.com/office/drawing/2012/chart">
                      <c:ext xmlns:c15="http://schemas.microsoft.com/office/drawing/2012/chart" uri="{02D57815-91ED-43cb-92C2-25804820EDAC}">
                        <c15:formulaRef>
                          <c15:sqref>Gasaufbereitungsanlagen!$B$23:$B$27</c15:sqref>
                        </c15:formulaRef>
                      </c:ext>
                    </c:extLst>
                    <c:numCache>
                      <c:formatCode>#,##0"m³/h"</c:formatCode>
                      <c:ptCount val="5"/>
                      <c:pt idx="0">
                        <c:v>400</c:v>
                      </c:pt>
                      <c:pt idx="1">
                        <c:v>700</c:v>
                      </c:pt>
                      <c:pt idx="2">
                        <c:v>1400</c:v>
                      </c:pt>
                      <c:pt idx="3">
                        <c:v>2000</c:v>
                      </c:pt>
                      <c:pt idx="4">
                        <c:v>2800</c:v>
                      </c:pt>
                    </c:numCache>
                  </c:numRef>
                </c:xVal>
                <c:yVal>
                  <c:numRef>
                    <c:extLst xmlns:c15="http://schemas.microsoft.com/office/drawing/2012/chart">
                      <c:ext xmlns:c15="http://schemas.microsoft.com/office/drawing/2012/chart" uri="{02D57815-91ED-43cb-92C2-25804820EDAC}">
                        <c15:formulaRef>
                          <c15:sqref>Gasaufbereitungsanlagen!$I$23:$I$27</c15:sqref>
                        </c15:formulaRef>
                      </c:ext>
                    </c:extLst>
                    <c:numCache>
                      <c:formatCode>0.00%</c:formatCode>
                      <c:ptCount val="5"/>
                      <c:pt idx="0">
                        <c:v>1.5000017115817443E-2</c:v>
                      </c:pt>
                      <c:pt idx="1">
                        <c:v>1.499998750610021E-2</c:v>
                      </c:pt>
                      <c:pt idx="2">
                        <c:v>1.5000003558284569E-2</c:v>
                      </c:pt>
                      <c:pt idx="3">
                        <c:v>1.4999993893107355E-2</c:v>
                      </c:pt>
                      <c:pt idx="4">
                        <c:v>1.4999991195702833E-2</c:v>
                      </c:pt>
                    </c:numCache>
                  </c:numRef>
                </c:yVal>
                <c:smooth val="1"/>
                <c:extLst xmlns:c15="http://schemas.microsoft.com/office/drawing/2012/chart">
                  <c:ext xmlns:c16="http://schemas.microsoft.com/office/drawing/2014/chart" uri="{C3380CC4-5D6E-409C-BE32-E72D297353CC}">
                    <c16:uniqueId val="{00000009-8CF8-4A67-A83D-CA6BD5580CDB}"/>
                  </c:ext>
                </c:extLst>
              </c15:ser>
            </c15:filteredScatterSeries>
          </c:ext>
        </c:extLst>
      </c:scatterChart>
      <c:scatterChart>
        <c:scatterStyle val="smoothMarker"/>
        <c:varyColors val="0"/>
        <c:ser>
          <c:idx val="1"/>
          <c:order val="1"/>
          <c:tx>
            <c:strRef>
              <c:f>Gasaufbereitungsanlagen!$D$13</c:f>
              <c:strCache>
                <c:ptCount val="1"/>
                <c:pt idx="0">
                  <c:v>Anteil an Invest für Instandhaltung %</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1"/>
            <c:dispEq val="1"/>
            <c:trendlineLbl>
              <c:layout>
                <c:manualLayout>
                  <c:x val="3.0008784752724835E-3"/>
                  <c:y val="2.4756305797168768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trendlineLbl>
          </c:trendline>
          <c:xVal>
            <c:numRef>
              <c:f>Gasaufbereitungsanlagen!$B$23:$B$27</c:f>
              <c:numCache>
                <c:formatCode>#,##0"m³/h"</c:formatCode>
                <c:ptCount val="5"/>
                <c:pt idx="0">
                  <c:v>400</c:v>
                </c:pt>
                <c:pt idx="1">
                  <c:v>700</c:v>
                </c:pt>
                <c:pt idx="2">
                  <c:v>1400</c:v>
                </c:pt>
                <c:pt idx="3">
                  <c:v>2000</c:v>
                </c:pt>
                <c:pt idx="4">
                  <c:v>2800</c:v>
                </c:pt>
              </c:numCache>
            </c:numRef>
          </c:xVal>
          <c:yVal>
            <c:numRef>
              <c:f>Gasaufbereitungsanlagen!$D$23:$D$27</c:f>
              <c:numCache>
                <c:formatCode>0.00%</c:formatCode>
                <c:ptCount val="5"/>
                <c:pt idx="0">
                  <c:v>2.6024738299548541E-2</c:v>
                </c:pt>
                <c:pt idx="1">
                  <c:v>3.2689655413657086E-2</c:v>
                </c:pt>
                <c:pt idx="2">
                  <c:v>3.0351563758774E-2</c:v>
                </c:pt>
                <c:pt idx="3">
                  <c:v>3.3087461150405187E-2</c:v>
                </c:pt>
                <c:pt idx="4">
                  <c:v>3.7553055501118399E-2</c:v>
                </c:pt>
              </c:numCache>
            </c:numRef>
          </c:yVal>
          <c:smooth val="1"/>
          <c:extLst>
            <c:ext xmlns:c16="http://schemas.microsoft.com/office/drawing/2014/chart" uri="{C3380CC4-5D6E-409C-BE32-E72D297353CC}">
              <c16:uniqueId val="{00000003-8CF8-4A67-A83D-CA6BD5580CDB}"/>
            </c:ext>
          </c:extLst>
        </c:ser>
        <c:dLbls>
          <c:showLegendKey val="0"/>
          <c:showVal val="0"/>
          <c:showCatName val="0"/>
          <c:showSerName val="0"/>
          <c:showPercent val="0"/>
          <c:showBubbleSize val="0"/>
        </c:dLbls>
        <c:axId val="309317176"/>
        <c:axId val="309317832"/>
      </c:scatterChart>
      <c:valAx>
        <c:axId val="682065176"/>
        <c:scaling>
          <c:orientation val="minMax"/>
        </c:scaling>
        <c:delete val="0"/>
        <c:axPos val="b"/>
        <c:majorGridlines>
          <c:spPr>
            <a:ln w="9525" cap="flat" cmpd="sng" algn="ctr">
              <a:solidFill>
                <a:schemeClr val="tx1">
                  <a:lumMod val="15000"/>
                  <a:lumOff val="85000"/>
                </a:schemeClr>
              </a:solidFill>
              <a:round/>
            </a:ln>
            <a:effectLst/>
          </c:spPr>
        </c:majorGridlines>
        <c:numFmt formatCode="#,##0&quot;m³/h&quot;"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2062552"/>
        <c:crosses val="autoZero"/>
        <c:crossBetween val="midCat"/>
      </c:valAx>
      <c:valAx>
        <c:axId val="682062552"/>
        <c:scaling>
          <c:orientation val="minMax"/>
        </c:scaling>
        <c:delete val="0"/>
        <c:axPos val="l"/>
        <c:majorGridlines>
          <c:spPr>
            <a:ln w="9525" cap="flat" cmpd="sng" algn="ctr">
              <a:solidFill>
                <a:schemeClr val="tx1">
                  <a:lumMod val="15000"/>
                  <a:lumOff val="85000"/>
                </a:schemeClr>
              </a:solidFill>
              <a:round/>
            </a:ln>
            <a:effectLst/>
          </c:spPr>
        </c:majorGridlines>
        <c:numFmt formatCode="#,##0\ &quot;€/Nm³/h&quot;;\-#,##0\ &quot;€/Nm³/h&quot;"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2065176"/>
        <c:crosses val="autoZero"/>
        <c:crossBetween val="midCat"/>
      </c:valAx>
      <c:valAx>
        <c:axId val="309317832"/>
        <c:scaling>
          <c:orientation val="minMax"/>
        </c:scaling>
        <c:delete val="0"/>
        <c:axPos val="r"/>
        <c:numFmt formatCode="0.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9317176"/>
        <c:crosses val="max"/>
        <c:crossBetween val="midCat"/>
      </c:valAx>
      <c:valAx>
        <c:axId val="309317176"/>
        <c:scaling>
          <c:orientation val="minMax"/>
        </c:scaling>
        <c:delete val="1"/>
        <c:axPos val="b"/>
        <c:numFmt formatCode="#,##0&quot;m³/h&quot;" sourceLinked="1"/>
        <c:majorTickMark val="out"/>
        <c:minorTickMark val="none"/>
        <c:tickLblPos val="nextTo"/>
        <c:crossAx val="30931783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Membranverfahren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scatterChart>
        <c:scatterStyle val="smoothMarker"/>
        <c:varyColors val="0"/>
        <c:ser>
          <c:idx val="7"/>
          <c:order val="7"/>
          <c:tx>
            <c:strRef>
              <c:f>Gasaufbereitungsanlagen!$J$13</c:f>
              <c:strCache>
                <c:ptCount val="1"/>
                <c:pt idx="0">
                  <c:v>spez. Anschaffungskosten</c:v>
                </c:pt>
              </c:strCache>
            </c:strRef>
          </c:tx>
          <c:spPr>
            <a:ln w="19050"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trendline>
            <c:spPr>
              <a:ln w="19050" cap="rnd">
                <a:solidFill>
                  <a:schemeClr val="accent2">
                    <a:lumMod val="60000"/>
                  </a:schemeClr>
                </a:solidFill>
                <a:prstDash val="sysDot"/>
              </a:ln>
              <a:effectLst/>
            </c:spPr>
            <c:trendlineType val="linear"/>
            <c:dispRSqr val="0"/>
            <c:dispEq val="0"/>
          </c:trendline>
          <c:trendline>
            <c:spPr>
              <a:ln w="19050" cap="rnd">
                <a:solidFill>
                  <a:schemeClr val="accent2">
                    <a:lumMod val="60000"/>
                  </a:schemeClr>
                </a:solidFill>
                <a:prstDash val="sysDot"/>
              </a:ln>
              <a:effectLst/>
            </c:spPr>
            <c:trendlineType val="linear"/>
            <c:dispRSqr val="0"/>
            <c:dispEq val="0"/>
          </c:trendline>
          <c:trendline>
            <c:spPr>
              <a:ln w="19050" cap="rnd">
                <a:solidFill>
                  <a:schemeClr val="accent2">
                    <a:lumMod val="60000"/>
                  </a:schemeClr>
                </a:solidFill>
                <a:prstDash val="sysDot"/>
              </a:ln>
              <a:effectLst/>
            </c:spPr>
            <c:trendlineType val="linear"/>
            <c:dispRSqr val="1"/>
            <c:dispEq val="1"/>
            <c:trendlineLbl>
              <c:layout>
                <c:manualLayout>
                  <c:x val="-0.29329125262895744"/>
                  <c:y val="-0.12359383822898759"/>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trendlineLbl>
          </c:trendline>
          <c:xVal>
            <c:numRef>
              <c:f>Gasaufbereitungsanlagen!$B$28:$B$29</c:f>
              <c:numCache>
                <c:formatCode>#,##0"m³/h"</c:formatCode>
                <c:ptCount val="2"/>
                <c:pt idx="0">
                  <c:v>400</c:v>
                </c:pt>
                <c:pt idx="1">
                  <c:v>700</c:v>
                </c:pt>
              </c:numCache>
            </c:numRef>
          </c:xVal>
          <c:yVal>
            <c:numRef>
              <c:f>Gasaufbereitungsanlagen!$J$28:$J$29</c:f>
              <c:numCache>
                <c:formatCode>#,##0\ "€/Nm³/h";\-#,##0\ "€/Nm³/h"</c:formatCode>
                <c:ptCount val="2"/>
                <c:pt idx="0">
                  <c:v>4266.96</c:v>
                </c:pt>
                <c:pt idx="1">
                  <c:v>3102.4928571428572</c:v>
                </c:pt>
              </c:numCache>
            </c:numRef>
          </c:yVal>
          <c:smooth val="1"/>
          <c:extLst>
            <c:ext xmlns:c16="http://schemas.microsoft.com/office/drawing/2014/chart" uri="{C3380CC4-5D6E-409C-BE32-E72D297353CC}">
              <c16:uniqueId val="{00000003-A68A-48DE-AF88-B10A6E9C4401}"/>
            </c:ext>
          </c:extLst>
        </c:ser>
        <c:dLbls>
          <c:showLegendKey val="0"/>
          <c:showVal val="0"/>
          <c:showCatName val="0"/>
          <c:showSerName val="0"/>
          <c:showPercent val="0"/>
          <c:showBubbleSize val="0"/>
        </c:dLbls>
        <c:axId val="515375704"/>
        <c:axId val="515374392"/>
        <c:extLst>
          <c:ext xmlns:c15="http://schemas.microsoft.com/office/drawing/2012/chart" uri="{02D57815-91ED-43cb-92C2-25804820EDAC}">
            <c15:filteredScatterSeries>
              <c15: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extLst>
                      <c:ext uri="{02D57815-91ED-43cb-92C2-25804820EDAC}">
                        <c15:formulaRef>
                          <c15:sqref>Gasaufbereitungsanlagen!$B$28:$B$29</c15:sqref>
                        </c15:formulaRef>
                      </c:ext>
                    </c:extLst>
                    <c:numCache>
                      <c:formatCode>#,##0"m³/h"</c:formatCode>
                      <c:ptCount val="2"/>
                      <c:pt idx="0">
                        <c:v>400</c:v>
                      </c:pt>
                      <c:pt idx="1">
                        <c:v>700</c:v>
                      </c:pt>
                    </c:numCache>
                  </c:numRef>
                </c:xVal>
                <c:yVal>
                  <c:numRef>
                    <c:extLst>
                      <c:ext uri="{02D57815-91ED-43cb-92C2-25804820EDAC}">
                        <c15:formulaRef>
                          <c15:sqref>Gasaufbereitungsanlagen!$C$28:$C$29</c15:sqref>
                        </c15:formulaRef>
                      </c:ext>
                    </c:extLst>
                    <c:numCache>
                      <c:formatCode>_("€"* #,##0_);_("€"* \(#,##0\);_("€"* "-"_);_(@_)</c:formatCode>
                      <c:ptCount val="2"/>
                      <c:pt idx="0">
                        <c:v>1706784</c:v>
                      </c:pt>
                      <c:pt idx="1">
                        <c:v>2171745</c:v>
                      </c:pt>
                    </c:numCache>
                  </c:numRef>
                </c:yVal>
                <c:smooth val="1"/>
                <c:extLst>
                  <c:ext xmlns:c16="http://schemas.microsoft.com/office/drawing/2014/chart" uri="{C3380CC4-5D6E-409C-BE32-E72D297353CC}">
                    <c16:uniqueId val="{00000006-A68A-48DE-AF88-B10A6E9C4401}"/>
                  </c:ext>
                </c:extLst>
              </c15:ser>
            </c15:filteredScatterSeries>
            <c15:filteredScatterSeries>
              <c15:ser>
                <c:idx val="2"/>
                <c:order val="2"/>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extLst xmlns:c15="http://schemas.microsoft.com/office/drawing/2012/chart">
                      <c:ext xmlns:c15="http://schemas.microsoft.com/office/drawing/2012/chart" uri="{02D57815-91ED-43cb-92C2-25804820EDAC}">
                        <c15:formulaRef>
                          <c15:sqref>Gasaufbereitungsanlagen!$B$28:$B$29</c15:sqref>
                        </c15:formulaRef>
                      </c:ext>
                    </c:extLst>
                    <c:numCache>
                      <c:formatCode>#,##0"m³/h"</c:formatCode>
                      <c:ptCount val="2"/>
                      <c:pt idx="0">
                        <c:v>400</c:v>
                      </c:pt>
                      <c:pt idx="1">
                        <c:v>700</c:v>
                      </c:pt>
                    </c:numCache>
                  </c:numRef>
                </c:xVal>
                <c:yVal>
                  <c:numRef>
                    <c:extLst xmlns:c15="http://schemas.microsoft.com/office/drawing/2012/chart">
                      <c:ext xmlns:c15="http://schemas.microsoft.com/office/drawing/2012/chart" uri="{02D57815-91ED-43cb-92C2-25804820EDAC}">
                        <c15:formulaRef>
                          <c15:sqref>Gasaufbereitungsanlagen!$E$28:$E$29</c15:sqref>
                        </c15:formulaRef>
                      </c:ext>
                    </c:extLst>
                    <c:numCache>
                      <c:formatCode>0.000\ "ct/m³Rohgas"</c:formatCode>
                      <c:ptCount val="2"/>
                      <c:pt idx="0">
                        <c:v>0.7523597302308499</c:v>
                      </c:pt>
                      <c:pt idx="1">
                        <c:v>0.75144480804407388</c:v>
                      </c:pt>
                    </c:numCache>
                  </c:numRef>
                </c:yVal>
                <c:smooth val="1"/>
                <c:extLst xmlns:c15="http://schemas.microsoft.com/office/drawing/2012/chart">
                  <c:ext xmlns:c16="http://schemas.microsoft.com/office/drawing/2014/chart" uri="{C3380CC4-5D6E-409C-BE32-E72D297353CC}">
                    <c16:uniqueId val="{00000007-A68A-48DE-AF88-B10A6E9C4401}"/>
                  </c:ext>
                </c:extLst>
              </c15:ser>
            </c15:filteredScatterSeries>
            <c15:filteredScatterSeries>
              <c15:ser>
                <c:idx val="3"/>
                <c:order val="3"/>
                <c:spPr>
                  <a:ln w="19050" cap="rnd">
                    <a:solidFill>
                      <a:schemeClr val="accent4"/>
                    </a:solidFill>
                    <a:round/>
                  </a:ln>
                  <a:effectLst/>
                </c:spPr>
                <c:marker>
                  <c:symbol val="circle"/>
                  <c:size val="5"/>
                  <c:spPr>
                    <a:solidFill>
                      <a:schemeClr val="accent4"/>
                    </a:solidFill>
                    <a:ln w="9525">
                      <a:solidFill>
                        <a:schemeClr val="accent4"/>
                      </a:solidFill>
                    </a:ln>
                    <a:effectLst/>
                  </c:spPr>
                </c:marker>
                <c:xVal>
                  <c:numRef>
                    <c:extLst xmlns:c15="http://schemas.microsoft.com/office/drawing/2012/chart">
                      <c:ext xmlns:c15="http://schemas.microsoft.com/office/drawing/2012/chart" uri="{02D57815-91ED-43cb-92C2-25804820EDAC}">
                        <c15:formulaRef>
                          <c15:sqref>Gasaufbereitungsanlagen!$B$28:$B$29</c15:sqref>
                        </c15:formulaRef>
                      </c:ext>
                    </c:extLst>
                    <c:numCache>
                      <c:formatCode>#,##0"m³/h"</c:formatCode>
                      <c:ptCount val="2"/>
                      <c:pt idx="0">
                        <c:v>400</c:v>
                      </c:pt>
                      <c:pt idx="1">
                        <c:v>700</c:v>
                      </c:pt>
                    </c:numCache>
                  </c:numRef>
                </c:xVal>
                <c:yVal>
                  <c:numRef>
                    <c:extLst xmlns:c15="http://schemas.microsoft.com/office/drawing/2012/chart">
                      <c:ext xmlns:c15="http://schemas.microsoft.com/office/drawing/2012/chart" uri="{02D57815-91ED-43cb-92C2-25804820EDAC}">
                        <c15:formulaRef>
                          <c15:sqref>Gasaufbereitungsanlagen!$F$28:$F$29</c15:sqref>
                        </c15:formulaRef>
                      </c:ext>
                    </c:extLst>
                    <c:numCache>
                      <c:formatCode>0.000\ "ct/kWhRohgas"</c:formatCode>
                      <c:ptCount val="2"/>
                      <c:pt idx="0">
                        <c:v>0.75995930202165163</c:v>
                      </c:pt>
                      <c:pt idx="1">
                        <c:v>0.75903515731097437</c:v>
                      </c:pt>
                    </c:numCache>
                  </c:numRef>
                </c:yVal>
                <c:smooth val="1"/>
                <c:extLst xmlns:c15="http://schemas.microsoft.com/office/drawing/2012/chart">
                  <c:ext xmlns:c16="http://schemas.microsoft.com/office/drawing/2014/chart" uri="{C3380CC4-5D6E-409C-BE32-E72D297353CC}">
                    <c16:uniqueId val="{00000008-A68A-48DE-AF88-B10A6E9C4401}"/>
                  </c:ext>
                </c:extLst>
              </c15:ser>
            </c15:filteredScatterSeries>
            <c15:filteredScatterSeries>
              <c15:ser>
                <c:idx val="4"/>
                <c:order val="4"/>
                <c:spPr>
                  <a:ln w="19050" cap="rnd">
                    <a:solidFill>
                      <a:schemeClr val="accent5"/>
                    </a:solidFill>
                    <a:round/>
                  </a:ln>
                  <a:effectLst/>
                </c:spPr>
                <c:marker>
                  <c:symbol val="circle"/>
                  <c:size val="5"/>
                  <c:spPr>
                    <a:solidFill>
                      <a:schemeClr val="accent5"/>
                    </a:solidFill>
                    <a:ln w="9525">
                      <a:solidFill>
                        <a:schemeClr val="accent5"/>
                      </a:solidFill>
                    </a:ln>
                    <a:effectLst/>
                  </c:spPr>
                </c:marker>
                <c:xVal>
                  <c:numRef>
                    <c:extLst xmlns:c15="http://schemas.microsoft.com/office/drawing/2012/chart">
                      <c:ext xmlns:c15="http://schemas.microsoft.com/office/drawing/2012/chart" uri="{02D57815-91ED-43cb-92C2-25804820EDAC}">
                        <c15:formulaRef>
                          <c15:sqref>Gasaufbereitungsanlagen!$B$28:$B$29</c15:sqref>
                        </c15:formulaRef>
                      </c:ext>
                    </c:extLst>
                    <c:numCache>
                      <c:formatCode>#,##0"m³/h"</c:formatCode>
                      <c:ptCount val="2"/>
                      <c:pt idx="0">
                        <c:v>400</c:v>
                      </c:pt>
                      <c:pt idx="1">
                        <c:v>700</c:v>
                      </c:pt>
                    </c:numCache>
                  </c:numRef>
                </c:xVal>
                <c:yVal>
                  <c:numRef>
                    <c:extLst xmlns:c15="http://schemas.microsoft.com/office/drawing/2012/chart">
                      <c:ext xmlns:c15="http://schemas.microsoft.com/office/drawing/2012/chart" uri="{02D57815-91ED-43cb-92C2-25804820EDAC}">
                        <c15:formulaRef>
                          <c15:sqref>Gasaufbereitungsanlagen!$G$28:$G$29</c15:sqref>
                        </c15:formulaRef>
                      </c:ext>
                    </c:extLst>
                    <c:numCache>
                      <c:formatCode>0.00\ "kWh/m³BG"</c:formatCode>
                      <c:ptCount val="2"/>
                      <c:pt idx="0">
                        <c:v>0.22</c:v>
                      </c:pt>
                      <c:pt idx="1">
                        <c:v>0.22</c:v>
                      </c:pt>
                    </c:numCache>
                  </c:numRef>
                </c:yVal>
                <c:smooth val="1"/>
                <c:extLst xmlns:c15="http://schemas.microsoft.com/office/drawing/2012/chart">
                  <c:ext xmlns:c16="http://schemas.microsoft.com/office/drawing/2014/chart" uri="{C3380CC4-5D6E-409C-BE32-E72D297353CC}">
                    <c16:uniqueId val="{00000009-A68A-48DE-AF88-B10A6E9C4401}"/>
                  </c:ext>
                </c:extLst>
              </c15:ser>
            </c15:filteredScatterSeries>
            <c15:filteredScatterSeries>
              <c15:ser>
                <c:idx val="5"/>
                <c:order val="5"/>
                <c:spPr>
                  <a:ln w="19050" cap="rnd">
                    <a:solidFill>
                      <a:schemeClr val="accent6"/>
                    </a:solidFill>
                    <a:round/>
                  </a:ln>
                  <a:effectLst/>
                </c:spPr>
                <c:marker>
                  <c:symbol val="circle"/>
                  <c:size val="5"/>
                  <c:spPr>
                    <a:solidFill>
                      <a:schemeClr val="accent6"/>
                    </a:solidFill>
                    <a:ln w="9525">
                      <a:solidFill>
                        <a:schemeClr val="accent6"/>
                      </a:solidFill>
                    </a:ln>
                    <a:effectLst/>
                  </c:spPr>
                </c:marker>
                <c:xVal>
                  <c:numRef>
                    <c:extLst xmlns:c15="http://schemas.microsoft.com/office/drawing/2012/chart">
                      <c:ext xmlns:c15="http://schemas.microsoft.com/office/drawing/2012/chart" uri="{02D57815-91ED-43cb-92C2-25804820EDAC}">
                        <c15:formulaRef>
                          <c15:sqref>Gasaufbereitungsanlagen!$B$28:$B$29</c15:sqref>
                        </c15:formulaRef>
                      </c:ext>
                    </c:extLst>
                    <c:numCache>
                      <c:formatCode>#,##0"m³/h"</c:formatCode>
                      <c:ptCount val="2"/>
                      <c:pt idx="0">
                        <c:v>400</c:v>
                      </c:pt>
                      <c:pt idx="1">
                        <c:v>700</c:v>
                      </c:pt>
                    </c:numCache>
                  </c:numRef>
                </c:xVal>
                <c:yVal>
                  <c:numRef>
                    <c:extLst xmlns:c15="http://schemas.microsoft.com/office/drawing/2012/chart">
                      <c:ext xmlns:c15="http://schemas.microsoft.com/office/drawing/2012/chart" uri="{02D57815-91ED-43cb-92C2-25804820EDAC}">
                        <c15:formulaRef>
                          <c15:sqref>Gasaufbereitungsanlagen!$H$28:$H$29</c15:sqref>
                        </c15:formulaRef>
                      </c:ext>
                    </c:extLst>
                    <c:numCache>
                      <c:formatCode>#,##0.0000\ "€";\-#,##0.0000\ "€"</c:formatCode>
                      <c:ptCount val="2"/>
                      <c:pt idx="0">
                        <c:v>0.22054798612042836</c:v>
                      </c:pt>
                      <c:pt idx="1">
                        <c:v>0.22054793784888818</c:v>
                      </c:pt>
                    </c:numCache>
                  </c:numRef>
                </c:yVal>
                <c:smooth val="1"/>
                <c:extLst xmlns:c15="http://schemas.microsoft.com/office/drawing/2012/chart">
                  <c:ext xmlns:c16="http://schemas.microsoft.com/office/drawing/2014/chart" uri="{C3380CC4-5D6E-409C-BE32-E72D297353CC}">
                    <c16:uniqueId val="{0000000A-A68A-48DE-AF88-B10A6E9C4401}"/>
                  </c:ext>
                </c:extLst>
              </c15:ser>
            </c15:filteredScatterSeries>
            <c15:filteredScatterSeries>
              <c15:ser>
                <c:idx val="6"/>
                <c:order val="6"/>
                <c:spPr>
                  <a:ln w="19050"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xVal>
                  <c:numRef>
                    <c:extLst xmlns:c15="http://schemas.microsoft.com/office/drawing/2012/chart">
                      <c:ext xmlns:c15="http://schemas.microsoft.com/office/drawing/2012/chart" uri="{02D57815-91ED-43cb-92C2-25804820EDAC}">
                        <c15:formulaRef>
                          <c15:sqref>Gasaufbereitungsanlagen!$B$28:$B$29</c15:sqref>
                        </c15:formulaRef>
                      </c:ext>
                    </c:extLst>
                    <c:numCache>
                      <c:formatCode>#,##0"m³/h"</c:formatCode>
                      <c:ptCount val="2"/>
                      <c:pt idx="0">
                        <c:v>400</c:v>
                      </c:pt>
                      <c:pt idx="1">
                        <c:v>700</c:v>
                      </c:pt>
                    </c:numCache>
                  </c:numRef>
                </c:xVal>
                <c:yVal>
                  <c:numRef>
                    <c:extLst xmlns:c15="http://schemas.microsoft.com/office/drawing/2012/chart">
                      <c:ext xmlns:c15="http://schemas.microsoft.com/office/drawing/2012/chart" uri="{02D57815-91ED-43cb-92C2-25804820EDAC}">
                        <c15:formulaRef>
                          <c15:sqref>Gasaufbereitungsanlagen!$I$28:$I$29</c15:sqref>
                        </c15:formulaRef>
                      </c:ext>
                    </c:extLst>
                    <c:numCache>
                      <c:formatCode>0.00%</c:formatCode>
                      <c:ptCount val="2"/>
                      <c:pt idx="0">
                        <c:v>9.9999720650637558E-3</c:v>
                      </c:pt>
                      <c:pt idx="1">
                        <c:v>9.9999969616569873E-3</c:v>
                      </c:pt>
                    </c:numCache>
                  </c:numRef>
                </c:yVal>
                <c:smooth val="1"/>
                <c:extLst xmlns:c15="http://schemas.microsoft.com/office/drawing/2012/chart">
                  <c:ext xmlns:c16="http://schemas.microsoft.com/office/drawing/2014/chart" uri="{C3380CC4-5D6E-409C-BE32-E72D297353CC}">
                    <c16:uniqueId val="{0000000B-A68A-48DE-AF88-B10A6E9C4401}"/>
                  </c:ext>
                </c:extLst>
              </c15:ser>
            </c15:filteredScatterSeries>
          </c:ext>
        </c:extLst>
      </c:scatterChart>
      <c:scatterChart>
        <c:scatterStyle val="smoothMarker"/>
        <c:varyColors val="0"/>
        <c:ser>
          <c:idx val="1"/>
          <c:order val="1"/>
          <c:tx>
            <c:strRef>
              <c:f>Gasaufbereitungsanlagen!$D$13</c:f>
              <c:strCache>
                <c:ptCount val="1"/>
                <c:pt idx="0">
                  <c:v>Anteil an Invest für Instandhaltung %</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1"/>
            <c:dispEq val="1"/>
            <c:trendlineLbl>
              <c:layout>
                <c:manualLayout>
                  <c:x val="-0.28216889913452481"/>
                  <c:y val="0.4520497526077528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trendlineLbl>
          </c:trendline>
          <c:xVal>
            <c:numRef>
              <c:f>Gasaufbereitungsanlagen!$B$28:$B$29</c:f>
              <c:numCache>
                <c:formatCode>#,##0"m³/h"</c:formatCode>
                <c:ptCount val="2"/>
                <c:pt idx="0">
                  <c:v>400</c:v>
                </c:pt>
                <c:pt idx="1">
                  <c:v>700</c:v>
                </c:pt>
              </c:numCache>
            </c:numRef>
          </c:xVal>
          <c:yVal>
            <c:numRef>
              <c:f>Gasaufbereitungsanlagen!$D$28:$D$29</c:f>
              <c:numCache>
                <c:formatCode>0.00%</c:formatCode>
                <c:ptCount val="2"/>
                <c:pt idx="0">
                  <c:v>4.0993980491966175E-2</c:v>
                </c:pt>
                <c:pt idx="1">
                  <c:v>4.1472097322659891E-2</c:v>
                </c:pt>
              </c:numCache>
            </c:numRef>
          </c:yVal>
          <c:smooth val="1"/>
          <c:extLst>
            <c:ext xmlns:c16="http://schemas.microsoft.com/office/drawing/2014/chart" uri="{C3380CC4-5D6E-409C-BE32-E72D297353CC}">
              <c16:uniqueId val="{00000005-A68A-48DE-AF88-B10A6E9C4401}"/>
            </c:ext>
          </c:extLst>
        </c:ser>
        <c:dLbls>
          <c:showLegendKey val="0"/>
          <c:showVal val="0"/>
          <c:showCatName val="0"/>
          <c:showSerName val="0"/>
          <c:showPercent val="0"/>
          <c:showBubbleSize val="0"/>
        </c:dLbls>
        <c:axId val="712471816"/>
        <c:axId val="712468208"/>
      </c:scatterChart>
      <c:valAx>
        <c:axId val="515375704"/>
        <c:scaling>
          <c:orientation val="minMax"/>
        </c:scaling>
        <c:delete val="0"/>
        <c:axPos val="b"/>
        <c:majorGridlines>
          <c:spPr>
            <a:ln w="9525" cap="flat" cmpd="sng" algn="ctr">
              <a:solidFill>
                <a:schemeClr val="tx1">
                  <a:lumMod val="15000"/>
                  <a:lumOff val="85000"/>
                </a:schemeClr>
              </a:solidFill>
              <a:round/>
            </a:ln>
            <a:effectLst/>
          </c:spPr>
        </c:majorGridlines>
        <c:numFmt formatCode="#,##0&quot;m³/h&quot;"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15374392"/>
        <c:crosses val="autoZero"/>
        <c:crossBetween val="midCat"/>
      </c:valAx>
      <c:valAx>
        <c:axId val="515374392"/>
        <c:scaling>
          <c:orientation val="minMax"/>
        </c:scaling>
        <c:delete val="0"/>
        <c:axPos val="l"/>
        <c:majorGridlines>
          <c:spPr>
            <a:ln w="9525" cap="flat" cmpd="sng" algn="ctr">
              <a:solidFill>
                <a:schemeClr val="tx1">
                  <a:lumMod val="15000"/>
                  <a:lumOff val="85000"/>
                </a:schemeClr>
              </a:solidFill>
              <a:round/>
            </a:ln>
            <a:effectLst/>
          </c:spPr>
        </c:majorGridlines>
        <c:numFmt formatCode="#,##0\ &quot;€/Nm³/h&quot;;\-#,##0\ &quot;€/Nm³/h&quot;"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15375704"/>
        <c:crosses val="autoZero"/>
        <c:crossBetween val="midCat"/>
      </c:valAx>
      <c:valAx>
        <c:axId val="712468208"/>
        <c:scaling>
          <c:orientation val="minMax"/>
        </c:scaling>
        <c:delete val="0"/>
        <c:axPos val="r"/>
        <c:numFmt formatCode="0.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12471816"/>
        <c:crosses val="max"/>
        <c:crossBetween val="midCat"/>
      </c:valAx>
      <c:valAx>
        <c:axId val="712471816"/>
        <c:scaling>
          <c:orientation val="minMax"/>
        </c:scaling>
        <c:delete val="1"/>
        <c:axPos val="b"/>
        <c:numFmt formatCode="#,##0&quot;m³/h&quot;" sourceLinked="1"/>
        <c:majorTickMark val="out"/>
        <c:minorTickMark val="none"/>
        <c:tickLblPos val="nextTo"/>
        <c:crossAx val="71246820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Polyethylenglykolwäsche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scatterChart>
        <c:scatterStyle val="smoothMarker"/>
        <c:varyColors val="0"/>
        <c:ser>
          <c:idx val="7"/>
          <c:order val="7"/>
          <c:tx>
            <c:strRef>
              <c:f>Gasaufbereitungsanlagen!$J$13</c:f>
              <c:strCache>
                <c:ptCount val="1"/>
                <c:pt idx="0">
                  <c:v>spez. Anschaffungskosten</c:v>
                </c:pt>
              </c:strCache>
            </c:strRef>
          </c:tx>
          <c:spPr>
            <a:ln w="19050"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trendline>
            <c:spPr>
              <a:ln w="19050" cap="rnd">
                <a:solidFill>
                  <a:schemeClr val="accent2">
                    <a:lumMod val="60000"/>
                  </a:schemeClr>
                </a:solidFill>
                <a:prstDash val="sysDot"/>
              </a:ln>
              <a:effectLst/>
            </c:spPr>
            <c:trendlineType val="power"/>
            <c:dispRSqr val="1"/>
            <c:dispEq val="1"/>
            <c:trendlineLbl>
              <c:layout>
                <c:manualLayout>
                  <c:x val="-0.29907779347637642"/>
                  <c:y val="-0.24667692420684581"/>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trendlineLbl>
          </c:trendline>
          <c:xVal>
            <c:numRef>
              <c:f>Gasaufbereitungsanlagen!$B$30:$B$35</c:f>
              <c:numCache>
                <c:formatCode>#,##0"m³/h"</c:formatCode>
                <c:ptCount val="6"/>
                <c:pt idx="0">
                  <c:v>250</c:v>
                </c:pt>
                <c:pt idx="1">
                  <c:v>500</c:v>
                </c:pt>
                <c:pt idx="2">
                  <c:v>700</c:v>
                </c:pt>
                <c:pt idx="3">
                  <c:v>1400</c:v>
                </c:pt>
                <c:pt idx="4">
                  <c:v>2000</c:v>
                </c:pt>
                <c:pt idx="5">
                  <c:v>2800</c:v>
                </c:pt>
              </c:numCache>
            </c:numRef>
          </c:xVal>
          <c:yVal>
            <c:numRef>
              <c:f>Gasaufbereitungsanlagen!$J$30:$J$35</c:f>
              <c:numCache>
                <c:formatCode>#,##0\ "€/Nm³/h";\-#,##0\ "€/Nm³/h"</c:formatCode>
                <c:ptCount val="6"/>
                <c:pt idx="0">
                  <c:v>4851.7719999999999</c:v>
                </c:pt>
                <c:pt idx="1">
                  <c:v>3638.828</c:v>
                </c:pt>
                <c:pt idx="2">
                  <c:v>3118.9957142857143</c:v>
                </c:pt>
                <c:pt idx="3">
                  <c:v>1906.0528571428572</c:v>
                </c:pt>
                <c:pt idx="4">
                  <c:v>1576.8254999999999</c:v>
                </c:pt>
                <c:pt idx="5">
                  <c:v>1342.9007142857142</c:v>
                </c:pt>
              </c:numCache>
            </c:numRef>
          </c:yVal>
          <c:smooth val="1"/>
          <c:extLst>
            <c:ext xmlns:c16="http://schemas.microsoft.com/office/drawing/2014/chart" uri="{C3380CC4-5D6E-409C-BE32-E72D297353CC}">
              <c16:uniqueId val="{00000001-8DB5-4E70-AE37-1C85BDF7ACF0}"/>
            </c:ext>
          </c:extLst>
        </c:ser>
        <c:dLbls>
          <c:showLegendKey val="0"/>
          <c:showVal val="0"/>
          <c:showCatName val="0"/>
          <c:showSerName val="0"/>
          <c:showPercent val="0"/>
          <c:showBubbleSize val="0"/>
        </c:dLbls>
        <c:axId val="686533152"/>
        <c:axId val="686533480"/>
        <c:extLst>
          <c:ext xmlns:c15="http://schemas.microsoft.com/office/drawing/2012/chart" uri="{02D57815-91ED-43cb-92C2-25804820EDAC}">
            <c15:filteredScatterSeries>
              <c15: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extLst>
                      <c:ext uri="{02D57815-91ED-43cb-92C2-25804820EDAC}">
                        <c15:formulaRef>
                          <c15:sqref>Gasaufbereitungsanlagen!$B$30:$B$35</c15:sqref>
                        </c15:formulaRef>
                      </c:ext>
                    </c:extLst>
                    <c:numCache>
                      <c:formatCode>#,##0"m³/h"</c:formatCode>
                      <c:ptCount val="6"/>
                      <c:pt idx="0">
                        <c:v>250</c:v>
                      </c:pt>
                      <c:pt idx="1">
                        <c:v>500</c:v>
                      </c:pt>
                      <c:pt idx="2">
                        <c:v>700</c:v>
                      </c:pt>
                      <c:pt idx="3">
                        <c:v>1400</c:v>
                      </c:pt>
                      <c:pt idx="4">
                        <c:v>2000</c:v>
                      </c:pt>
                      <c:pt idx="5">
                        <c:v>2800</c:v>
                      </c:pt>
                    </c:numCache>
                  </c:numRef>
                </c:xVal>
                <c:yVal>
                  <c:numRef>
                    <c:extLst>
                      <c:ext uri="{02D57815-91ED-43cb-92C2-25804820EDAC}">
                        <c15:formulaRef>
                          <c15:sqref>Gasaufbereitungsanlagen!$C$30:$C$35</c15:sqref>
                        </c15:formulaRef>
                      </c:ext>
                    </c:extLst>
                    <c:numCache>
                      <c:formatCode>_("€"* #,##0_);_("€"* \(#,##0\);_("€"* "-"_);_(@_)</c:formatCode>
                      <c:ptCount val="6"/>
                      <c:pt idx="0">
                        <c:v>1212943</c:v>
                      </c:pt>
                      <c:pt idx="1">
                        <c:v>1819414</c:v>
                      </c:pt>
                      <c:pt idx="2">
                        <c:v>2183297</c:v>
                      </c:pt>
                      <c:pt idx="3">
                        <c:v>2668474</c:v>
                      </c:pt>
                      <c:pt idx="4">
                        <c:v>3153651</c:v>
                      </c:pt>
                      <c:pt idx="5">
                        <c:v>3760122</c:v>
                      </c:pt>
                    </c:numCache>
                  </c:numRef>
                </c:yVal>
                <c:smooth val="1"/>
                <c:extLst>
                  <c:ext xmlns:c16="http://schemas.microsoft.com/office/drawing/2014/chart" uri="{C3380CC4-5D6E-409C-BE32-E72D297353CC}">
                    <c16:uniqueId val="{00000004-8DB5-4E70-AE37-1C85BDF7ACF0}"/>
                  </c:ext>
                </c:extLst>
              </c15:ser>
            </c15:filteredScatterSeries>
            <c15:filteredScatterSeries>
              <c15:ser>
                <c:idx val="2"/>
                <c:order val="2"/>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extLst xmlns:c15="http://schemas.microsoft.com/office/drawing/2012/chart">
                      <c:ext xmlns:c15="http://schemas.microsoft.com/office/drawing/2012/chart" uri="{02D57815-91ED-43cb-92C2-25804820EDAC}">
                        <c15:formulaRef>
                          <c15:sqref>Gasaufbereitungsanlagen!$B$30:$B$35</c15:sqref>
                        </c15:formulaRef>
                      </c:ext>
                    </c:extLst>
                    <c:numCache>
                      <c:formatCode>#,##0"m³/h"</c:formatCode>
                      <c:ptCount val="6"/>
                      <c:pt idx="0">
                        <c:v>250</c:v>
                      </c:pt>
                      <c:pt idx="1">
                        <c:v>500</c:v>
                      </c:pt>
                      <c:pt idx="2">
                        <c:v>700</c:v>
                      </c:pt>
                      <c:pt idx="3">
                        <c:v>1400</c:v>
                      </c:pt>
                      <c:pt idx="4">
                        <c:v>2000</c:v>
                      </c:pt>
                      <c:pt idx="5">
                        <c:v>2800</c:v>
                      </c:pt>
                    </c:numCache>
                  </c:numRef>
                </c:xVal>
                <c:yVal>
                  <c:numRef>
                    <c:extLst xmlns:c15="http://schemas.microsoft.com/office/drawing/2012/chart">
                      <c:ext xmlns:c15="http://schemas.microsoft.com/office/drawing/2012/chart" uri="{02D57815-91ED-43cb-92C2-25804820EDAC}">
                        <c15:formulaRef>
                          <c15:sqref>Gasaufbereitungsanlagen!$E$30:$E$35</c15:sqref>
                        </c15:formulaRef>
                      </c:ext>
                    </c:extLst>
                    <c:numCache>
                      <c:formatCode>0.000\ "ct/m³Rohgas"</c:formatCode>
                      <c:ptCount val="6"/>
                      <c:pt idx="0">
                        <c:v>0.78798132706848822</c:v>
                      </c:pt>
                      <c:pt idx="1">
                        <c:v>0.78530121862696933</c:v>
                      </c:pt>
                      <c:pt idx="2">
                        <c:v>0.78655791198544678</c:v>
                      </c:pt>
                      <c:pt idx="3">
                        <c:v>0.78591062151844671</c:v>
                      </c:pt>
                      <c:pt idx="4">
                        <c:v>0.78655790988117757</c:v>
                      </c:pt>
                      <c:pt idx="5">
                        <c:v>0.78798129123239646</c:v>
                      </c:pt>
                    </c:numCache>
                  </c:numRef>
                </c:yVal>
                <c:smooth val="1"/>
                <c:extLst xmlns:c15="http://schemas.microsoft.com/office/drawing/2012/chart">
                  <c:ext xmlns:c16="http://schemas.microsoft.com/office/drawing/2014/chart" uri="{C3380CC4-5D6E-409C-BE32-E72D297353CC}">
                    <c16:uniqueId val="{00000005-8DB5-4E70-AE37-1C85BDF7ACF0}"/>
                  </c:ext>
                </c:extLst>
              </c15:ser>
            </c15:filteredScatterSeries>
            <c15:filteredScatterSeries>
              <c15:ser>
                <c:idx val="3"/>
                <c:order val="3"/>
                <c:spPr>
                  <a:ln w="19050" cap="rnd">
                    <a:solidFill>
                      <a:schemeClr val="accent4"/>
                    </a:solidFill>
                    <a:round/>
                  </a:ln>
                  <a:effectLst/>
                </c:spPr>
                <c:marker>
                  <c:symbol val="circle"/>
                  <c:size val="5"/>
                  <c:spPr>
                    <a:solidFill>
                      <a:schemeClr val="accent4"/>
                    </a:solidFill>
                    <a:ln w="9525">
                      <a:solidFill>
                        <a:schemeClr val="accent4"/>
                      </a:solidFill>
                    </a:ln>
                    <a:effectLst/>
                  </c:spPr>
                </c:marker>
                <c:xVal>
                  <c:numRef>
                    <c:extLst xmlns:c15="http://schemas.microsoft.com/office/drawing/2012/chart">
                      <c:ext xmlns:c15="http://schemas.microsoft.com/office/drawing/2012/chart" uri="{02D57815-91ED-43cb-92C2-25804820EDAC}">
                        <c15:formulaRef>
                          <c15:sqref>Gasaufbereitungsanlagen!$B$30:$B$35</c15:sqref>
                        </c15:formulaRef>
                      </c:ext>
                    </c:extLst>
                    <c:numCache>
                      <c:formatCode>#,##0"m³/h"</c:formatCode>
                      <c:ptCount val="6"/>
                      <c:pt idx="0">
                        <c:v>250</c:v>
                      </c:pt>
                      <c:pt idx="1">
                        <c:v>500</c:v>
                      </c:pt>
                      <c:pt idx="2">
                        <c:v>700</c:v>
                      </c:pt>
                      <c:pt idx="3">
                        <c:v>1400</c:v>
                      </c:pt>
                      <c:pt idx="4">
                        <c:v>2000</c:v>
                      </c:pt>
                      <c:pt idx="5">
                        <c:v>2800</c:v>
                      </c:pt>
                    </c:numCache>
                  </c:numRef>
                </c:xVal>
                <c:yVal>
                  <c:numRef>
                    <c:extLst xmlns:c15="http://schemas.microsoft.com/office/drawing/2012/chart">
                      <c:ext xmlns:c15="http://schemas.microsoft.com/office/drawing/2012/chart" uri="{02D57815-91ED-43cb-92C2-25804820EDAC}">
                        <c15:formulaRef>
                          <c15:sqref>Gasaufbereitungsanlagen!$F$30:$F$35</c15:sqref>
                        </c15:formulaRef>
                      </c:ext>
                    </c:extLst>
                    <c:numCache>
                      <c:formatCode>0.000\ "ct/kWhRohgas"</c:formatCode>
                      <c:ptCount val="6"/>
                      <c:pt idx="0">
                        <c:v>0.79998105299684674</c:v>
                      </c:pt>
                      <c:pt idx="1">
                        <c:v>0.79726014550387314</c:v>
                      </c:pt>
                      <c:pt idx="2">
                        <c:v>0.79853595413894918</c:v>
                      </c:pt>
                      <c:pt idx="3">
                        <c:v>0.79787879862526556</c:v>
                      </c:pt>
                      <c:pt idx="4">
                        <c:v>0.79853595171533198</c:v>
                      </c:pt>
                      <c:pt idx="5">
                        <c:v>0.79998100738641886</c:v>
                      </c:pt>
                    </c:numCache>
                  </c:numRef>
                </c:yVal>
                <c:smooth val="1"/>
                <c:extLst xmlns:c15="http://schemas.microsoft.com/office/drawing/2012/chart">
                  <c:ext xmlns:c16="http://schemas.microsoft.com/office/drawing/2014/chart" uri="{C3380CC4-5D6E-409C-BE32-E72D297353CC}">
                    <c16:uniqueId val="{00000006-8DB5-4E70-AE37-1C85BDF7ACF0}"/>
                  </c:ext>
                </c:extLst>
              </c15:ser>
            </c15:filteredScatterSeries>
            <c15:filteredScatterSeries>
              <c15:ser>
                <c:idx val="4"/>
                <c:order val="4"/>
                <c:spPr>
                  <a:ln w="19050" cap="rnd">
                    <a:solidFill>
                      <a:schemeClr val="accent5"/>
                    </a:solidFill>
                    <a:round/>
                  </a:ln>
                  <a:effectLst/>
                </c:spPr>
                <c:marker>
                  <c:symbol val="circle"/>
                  <c:size val="5"/>
                  <c:spPr>
                    <a:solidFill>
                      <a:schemeClr val="accent5"/>
                    </a:solidFill>
                    <a:ln w="9525">
                      <a:solidFill>
                        <a:schemeClr val="accent5"/>
                      </a:solidFill>
                    </a:ln>
                    <a:effectLst/>
                  </c:spPr>
                </c:marker>
                <c:xVal>
                  <c:numRef>
                    <c:extLst xmlns:c15="http://schemas.microsoft.com/office/drawing/2012/chart">
                      <c:ext xmlns:c15="http://schemas.microsoft.com/office/drawing/2012/chart" uri="{02D57815-91ED-43cb-92C2-25804820EDAC}">
                        <c15:formulaRef>
                          <c15:sqref>Gasaufbereitungsanlagen!$B$30:$B$35</c15:sqref>
                        </c15:formulaRef>
                      </c:ext>
                    </c:extLst>
                    <c:numCache>
                      <c:formatCode>#,##0"m³/h"</c:formatCode>
                      <c:ptCount val="6"/>
                      <c:pt idx="0">
                        <c:v>250</c:v>
                      </c:pt>
                      <c:pt idx="1">
                        <c:v>500</c:v>
                      </c:pt>
                      <c:pt idx="2">
                        <c:v>700</c:v>
                      </c:pt>
                      <c:pt idx="3">
                        <c:v>1400</c:v>
                      </c:pt>
                      <c:pt idx="4">
                        <c:v>2000</c:v>
                      </c:pt>
                      <c:pt idx="5">
                        <c:v>2800</c:v>
                      </c:pt>
                    </c:numCache>
                  </c:numRef>
                </c:xVal>
                <c:yVal>
                  <c:numRef>
                    <c:extLst xmlns:c15="http://schemas.microsoft.com/office/drawing/2012/chart">
                      <c:ext xmlns:c15="http://schemas.microsoft.com/office/drawing/2012/chart" uri="{02D57815-91ED-43cb-92C2-25804820EDAC}">
                        <c15:formulaRef>
                          <c15:sqref>Gasaufbereitungsanlagen!$G$30:$G$35</c15:sqref>
                        </c15:formulaRef>
                      </c:ext>
                    </c:extLst>
                    <c:numCache>
                      <c:formatCode>0.00\ "kWh/m³BG"</c:formatCode>
                      <c:ptCount val="6"/>
                      <c:pt idx="0">
                        <c:v>0.23</c:v>
                      </c:pt>
                      <c:pt idx="1">
                        <c:v>0.23</c:v>
                      </c:pt>
                      <c:pt idx="2">
                        <c:v>0.23</c:v>
                      </c:pt>
                      <c:pt idx="3">
                        <c:v>0.23</c:v>
                      </c:pt>
                      <c:pt idx="4">
                        <c:v>0.23</c:v>
                      </c:pt>
                      <c:pt idx="5">
                        <c:v>0.23</c:v>
                      </c:pt>
                    </c:numCache>
                  </c:numRef>
                </c:yVal>
                <c:smooth val="1"/>
                <c:extLst xmlns:c15="http://schemas.microsoft.com/office/drawing/2012/chart">
                  <c:ext xmlns:c16="http://schemas.microsoft.com/office/drawing/2014/chart" uri="{C3380CC4-5D6E-409C-BE32-E72D297353CC}">
                    <c16:uniqueId val="{00000007-8DB5-4E70-AE37-1C85BDF7ACF0}"/>
                  </c:ext>
                </c:extLst>
              </c15:ser>
            </c15:filteredScatterSeries>
            <c15:filteredScatterSeries>
              <c15:ser>
                <c:idx val="5"/>
                <c:order val="5"/>
                <c:spPr>
                  <a:ln w="19050" cap="rnd">
                    <a:solidFill>
                      <a:schemeClr val="accent6"/>
                    </a:solidFill>
                    <a:round/>
                  </a:ln>
                  <a:effectLst/>
                </c:spPr>
                <c:marker>
                  <c:symbol val="circle"/>
                  <c:size val="5"/>
                  <c:spPr>
                    <a:solidFill>
                      <a:schemeClr val="accent6"/>
                    </a:solidFill>
                    <a:ln w="9525">
                      <a:solidFill>
                        <a:schemeClr val="accent6"/>
                      </a:solidFill>
                    </a:ln>
                    <a:effectLst/>
                  </c:spPr>
                </c:marker>
                <c:xVal>
                  <c:numRef>
                    <c:extLst xmlns:c15="http://schemas.microsoft.com/office/drawing/2012/chart">
                      <c:ext xmlns:c15="http://schemas.microsoft.com/office/drawing/2012/chart" uri="{02D57815-91ED-43cb-92C2-25804820EDAC}">
                        <c15:formulaRef>
                          <c15:sqref>Gasaufbereitungsanlagen!$B$30:$B$35</c15:sqref>
                        </c15:formulaRef>
                      </c:ext>
                    </c:extLst>
                    <c:numCache>
                      <c:formatCode>#,##0"m³/h"</c:formatCode>
                      <c:ptCount val="6"/>
                      <c:pt idx="0">
                        <c:v>250</c:v>
                      </c:pt>
                      <c:pt idx="1">
                        <c:v>500</c:v>
                      </c:pt>
                      <c:pt idx="2">
                        <c:v>700</c:v>
                      </c:pt>
                      <c:pt idx="3">
                        <c:v>1400</c:v>
                      </c:pt>
                      <c:pt idx="4">
                        <c:v>2000</c:v>
                      </c:pt>
                      <c:pt idx="5">
                        <c:v>2800</c:v>
                      </c:pt>
                    </c:numCache>
                  </c:numRef>
                </c:xVal>
                <c:yVal>
                  <c:numRef>
                    <c:extLst xmlns:c15="http://schemas.microsoft.com/office/drawing/2012/chart">
                      <c:ext xmlns:c15="http://schemas.microsoft.com/office/drawing/2012/chart" uri="{02D57815-91ED-43cb-92C2-25804820EDAC}">
                        <c15:formulaRef>
                          <c15:sqref>Gasaufbereitungsanlagen!$H$30:$H$35</c15:sqref>
                        </c15:formulaRef>
                      </c:ext>
                    </c:extLst>
                    <c:numCache>
                      <c:formatCode>#,##0.0000\ "€";\-#,##0.0000\ "€"</c:formatCode>
                      <c:ptCount val="6"/>
                      <c:pt idx="0">
                        <c:v>0.22054790355941045</c:v>
                      </c:pt>
                      <c:pt idx="1">
                        <c:v>0.22054791636103266</c:v>
                      </c:pt>
                      <c:pt idx="2">
                        <c:v>0.22054794528958732</c:v>
                      </c:pt>
                      <c:pt idx="3">
                        <c:v>0.22054794533353131</c:v>
                      </c:pt>
                      <c:pt idx="4">
                        <c:v>0.22054793873288867</c:v>
                      </c:pt>
                      <c:pt idx="5">
                        <c:v>0.22054794312337003</c:v>
                      </c:pt>
                    </c:numCache>
                  </c:numRef>
                </c:yVal>
                <c:smooth val="1"/>
                <c:extLst xmlns:c15="http://schemas.microsoft.com/office/drawing/2012/chart">
                  <c:ext xmlns:c16="http://schemas.microsoft.com/office/drawing/2014/chart" uri="{C3380CC4-5D6E-409C-BE32-E72D297353CC}">
                    <c16:uniqueId val="{00000008-8DB5-4E70-AE37-1C85BDF7ACF0}"/>
                  </c:ext>
                </c:extLst>
              </c15:ser>
            </c15:filteredScatterSeries>
            <c15:filteredScatterSeries>
              <c15:ser>
                <c:idx val="6"/>
                <c:order val="6"/>
                <c:spPr>
                  <a:ln w="19050"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xVal>
                  <c:numRef>
                    <c:extLst xmlns:c15="http://schemas.microsoft.com/office/drawing/2012/chart">
                      <c:ext xmlns:c15="http://schemas.microsoft.com/office/drawing/2012/chart" uri="{02D57815-91ED-43cb-92C2-25804820EDAC}">
                        <c15:formulaRef>
                          <c15:sqref>Gasaufbereitungsanlagen!$B$30:$B$35</c15:sqref>
                        </c15:formulaRef>
                      </c:ext>
                    </c:extLst>
                    <c:numCache>
                      <c:formatCode>#,##0"m³/h"</c:formatCode>
                      <c:ptCount val="6"/>
                      <c:pt idx="0">
                        <c:v>250</c:v>
                      </c:pt>
                      <c:pt idx="1">
                        <c:v>500</c:v>
                      </c:pt>
                      <c:pt idx="2">
                        <c:v>700</c:v>
                      </c:pt>
                      <c:pt idx="3">
                        <c:v>1400</c:v>
                      </c:pt>
                      <c:pt idx="4">
                        <c:v>2000</c:v>
                      </c:pt>
                      <c:pt idx="5">
                        <c:v>2800</c:v>
                      </c:pt>
                    </c:numCache>
                  </c:numRef>
                </c:xVal>
                <c:yVal>
                  <c:numRef>
                    <c:extLst xmlns:c15="http://schemas.microsoft.com/office/drawing/2012/chart">
                      <c:ext xmlns:c15="http://schemas.microsoft.com/office/drawing/2012/chart" uri="{02D57815-91ED-43cb-92C2-25804820EDAC}">
                        <c15:formulaRef>
                          <c15:sqref>Gasaufbereitungsanlagen!$I$30:$I$35</c15:sqref>
                        </c15:formulaRef>
                      </c:ext>
                    </c:extLst>
                    <c:numCache>
                      <c:formatCode>0.00%</c:formatCode>
                      <c:ptCount val="6"/>
                      <c:pt idx="0">
                        <c:v>1.5000012667057416E-2</c:v>
                      </c:pt>
                      <c:pt idx="1">
                        <c:v>1.5000030974012479E-2</c:v>
                      </c:pt>
                      <c:pt idx="2">
                        <c:v>1.5000003558284569E-2</c:v>
                      </c:pt>
                      <c:pt idx="3">
                        <c:v>1.4999993893107355E-2</c:v>
                      </c:pt>
                      <c:pt idx="4">
                        <c:v>1.5000003203893719E-2</c:v>
                      </c:pt>
                      <c:pt idx="5">
                        <c:v>1.5000001304063648E-2</c:v>
                      </c:pt>
                    </c:numCache>
                  </c:numRef>
                </c:yVal>
                <c:smooth val="1"/>
                <c:extLst xmlns:c15="http://schemas.microsoft.com/office/drawing/2012/chart">
                  <c:ext xmlns:c16="http://schemas.microsoft.com/office/drawing/2014/chart" uri="{C3380CC4-5D6E-409C-BE32-E72D297353CC}">
                    <c16:uniqueId val="{00000009-8DB5-4E70-AE37-1C85BDF7ACF0}"/>
                  </c:ext>
                </c:extLst>
              </c15:ser>
            </c15:filteredScatterSeries>
          </c:ext>
        </c:extLst>
      </c:scatterChart>
      <c:scatterChart>
        <c:scatterStyle val="smoothMarker"/>
        <c:varyColors val="0"/>
        <c:ser>
          <c:idx val="1"/>
          <c:order val="1"/>
          <c:tx>
            <c:strRef>
              <c:f>Gasaufbereitungsanlagen!$D$13</c:f>
              <c:strCache>
                <c:ptCount val="1"/>
                <c:pt idx="0">
                  <c:v>Anteil an Invest für Instandhaltung %</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power"/>
            <c:dispRSqr val="1"/>
            <c:dispEq val="1"/>
            <c:trendlineLbl>
              <c:layout>
                <c:manualLayout>
                  <c:x val="-0.38403350834531064"/>
                  <c:y val="4.1337144219942078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trendlineLbl>
          </c:trendline>
          <c:xVal>
            <c:numRef>
              <c:f>Gasaufbereitungsanlagen!$B$30:$B$35</c:f>
              <c:numCache>
                <c:formatCode>#,##0"m³/h"</c:formatCode>
                <c:ptCount val="6"/>
                <c:pt idx="0">
                  <c:v>250</c:v>
                </c:pt>
                <c:pt idx="1">
                  <c:v>500</c:v>
                </c:pt>
                <c:pt idx="2">
                  <c:v>700</c:v>
                </c:pt>
                <c:pt idx="3">
                  <c:v>1400</c:v>
                </c:pt>
                <c:pt idx="4">
                  <c:v>2000</c:v>
                </c:pt>
                <c:pt idx="5">
                  <c:v>2800</c:v>
                </c:pt>
              </c:numCache>
            </c:numRef>
          </c:xVal>
          <c:yVal>
            <c:numRef>
              <c:f>Gasaufbereitungsanlagen!$D$30:$D$35</c:f>
              <c:numCache>
                <c:formatCode>0.00%</c:formatCode>
                <c:ptCount val="6"/>
                <c:pt idx="0">
                  <c:v>2.0626327865365481E-2</c:v>
                </c:pt>
                <c:pt idx="1">
                  <c:v>1.4328657468833371E-2</c:v>
                </c:pt>
                <c:pt idx="2">
                  <c:v>1.2942013844199849E-2</c:v>
                </c:pt>
                <c:pt idx="3">
                  <c:v>1.103012433323315E-2</c:v>
                </c:pt>
                <c:pt idx="4">
                  <c:v>1.0133169459778523E-2</c:v>
                </c:pt>
                <c:pt idx="5">
                  <c:v>8.767170320537471E-3</c:v>
                </c:pt>
              </c:numCache>
            </c:numRef>
          </c:yVal>
          <c:smooth val="1"/>
          <c:extLst>
            <c:ext xmlns:c16="http://schemas.microsoft.com/office/drawing/2014/chart" uri="{C3380CC4-5D6E-409C-BE32-E72D297353CC}">
              <c16:uniqueId val="{00000003-8DB5-4E70-AE37-1C85BDF7ACF0}"/>
            </c:ext>
          </c:extLst>
        </c:ser>
        <c:dLbls>
          <c:showLegendKey val="0"/>
          <c:showVal val="0"/>
          <c:showCatName val="0"/>
          <c:showSerName val="0"/>
          <c:showPercent val="0"/>
          <c:showBubbleSize val="0"/>
        </c:dLbls>
        <c:axId val="781287320"/>
        <c:axId val="781286664"/>
      </c:scatterChart>
      <c:valAx>
        <c:axId val="686533152"/>
        <c:scaling>
          <c:orientation val="minMax"/>
        </c:scaling>
        <c:delete val="0"/>
        <c:axPos val="b"/>
        <c:majorGridlines>
          <c:spPr>
            <a:ln w="9525" cap="flat" cmpd="sng" algn="ctr">
              <a:solidFill>
                <a:schemeClr val="tx1">
                  <a:lumMod val="15000"/>
                  <a:lumOff val="85000"/>
                </a:schemeClr>
              </a:solidFill>
              <a:round/>
            </a:ln>
            <a:effectLst/>
          </c:spPr>
        </c:majorGridlines>
        <c:numFmt formatCode="#,##0&quot;m³/h&quot;"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6533480"/>
        <c:crosses val="autoZero"/>
        <c:crossBetween val="midCat"/>
      </c:valAx>
      <c:valAx>
        <c:axId val="686533480"/>
        <c:scaling>
          <c:orientation val="minMax"/>
        </c:scaling>
        <c:delete val="0"/>
        <c:axPos val="l"/>
        <c:majorGridlines>
          <c:spPr>
            <a:ln w="9525" cap="flat" cmpd="sng" algn="ctr">
              <a:solidFill>
                <a:schemeClr val="tx1">
                  <a:lumMod val="15000"/>
                  <a:lumOff val="85000"/>
                </a:schemeClr>
              </a:solidFill>
              <a:round/>
            </a:ln>
            <a:effectLst/>
          </c:spPr>
        </c:majorGridlines>
        <c:numFmt formatCode="#,##0\ &quot;€/Nm³/h&quot;;\-#,##0\ &quot;€/Nm³/h&quot;"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6533152"/>
        <c:crosses val="autoZero"/>
        <c:crossBetween val="midCat"/>
      </c:valAx>
      <c:valAx>
        <c:axId val="781286664"/>
        <c:scaling>
          <c:orientation val="minMax"/>
        </c:scaling>
        <c:delete val="0"/>
        <c:axPos val="r"/>
        <c:numFmt formatCode="0.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81287320"/>
        <c:crosses val="max"/>
        <c:crossBetween val="midCat"/>
      </c:valAx>
      <c:valAx>
        <c:axId val="781287320"/>
        <c:scaling>
          <c:orientation val="minMax"/>
        </c:scaling>
        <c:delete val="1"/>
        <c:axPos val="b"/>
        <c:numFmt formatCode="#,##0&quot;m³/h&quot;" sourceLinked="1"/>
        <c:majorTickMark val="out"/>
        <c:minorTickMark val="none"/>
        <c:tickLblPos val="nextTo"/>
        <c:crossAx val="78128666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28575</xdr:colOff>
          <xdr:row>67</xdr:row>
          <xdr:rowOff>104775</xdr:rowOff>
        </xdr:from>
        <xdr:to>
          <xdr:col>4</xdr:col>
          <xdr:colOff>828675</xdr:colOff>
          <xdr:row>73</xdr:row>
          <xdr:rowOff>66675</xdr:rowOff>
        </xdr:to>
        <xdr:sp macro="" textlink="">
          <xdr:nvSpPr>
            <xdr:cNvPr id="9217" name="Object 1" hidden="1">
              <a:extLst>
                <a:ext uri="{63B3BB69-23CF-44E3-9099-C40C66FF867C}">
                  <a14:compatExt spid="_x0000_s9217"/>
                </a:ext>
                <a:ext uri="{FF2B5EF4-FFF2-40B4-BE49-F238E27FC236}">
                  <a16:creationId xmlns:a16="http://schemas.microsoft.com/office/drawing/2014/main" id="{00000000-0008-0000-0500-0000012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xdr:colOff>
      <xdr:row>43</xdr:row>
      <xdr:rowOff>0</xdr:rowOff>
    </xdr:from>
    <xdr:to>
      <xdr:col>3</xdr:col>
      <xdr:colOff>609601</xdr:colOff>
      <xdr:row>56</xdr:row>
      <xdr:rowOff>95250</xdr:rowOff>
    </xdr:to>
    <xdr:graphicFrame macro="">
      <xdr:nvGraphicFramePr>
        <xdr:cNvPr id="2" name="Diagramm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660399</xdr:colOff>
      <xdr:row>42</xdr:row>
      <xdr:rowOff>184151</xdr:rowOff>
    </xdr:from>
    <xdr:to>
      <xdr:col>6</xdr:col>
      <xdr:colOff>914400</xdr:colOff>
      <xdr:row>56</xdr:row>
      <xdr:rowOff>76200</xdr:rowOff>
    </xdr:to>
    <xdr:graphicFrame macro="">
      <xdr:nvGraphicFramePr>
        <xdr:cNvPr id="3" name="Diagramm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999066</xdr:colOff>
      <xdr:row>43</xdr:row>
      <xdr:rowOff>14817</xdr:rowOff>
    </xdr:from>
    <xdr:to>
      <xdr:col>11</xdr:col>
      <xdr:colOff>590550</xdr:colOff>
      <xdr:row>56</xdr:row>
      <xdr:rowOff>57150</xdr:rowOff>
    </xdr:to>
    <xdr:graphicFrame macro="">
      <xdr:nvGraphicFramePr>
        <xdr:cNvPr id="4" name="Diagramm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751416</xdr:colOff>
      <xdr:row>43</xdr:row>
      <xdr:rowOff>33867</xdr:rowOff>
    </xdr:from>
    <xdr:to>
      <xdr:col>18</xdr:col>
      <xdr:colOff>19050</xdr:colOff>
      <xdr:row>55</xdr:row>
      <xdr:rowOff>133350</xdr:rowOff>
    </xdr:to>
    <xdr:graphicFrame macro="">
      <xdr:nvGraphicFramePr>
        <xdr:cNvPr id="5" name="Diagramm 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123825</xdr:colOff>
      <xdr:row>43</xdr:row>
      <xdr:rowOff>14817</xdr:rowOff>
    </xdr:from>
    <xdr:to>
      <xdr:col>23</xdr:col>
      <xdr:colOff>247651</xdr:colOff>
      <xdr:row>55</xdr:row>
      <xdr:rowOff>152400</xdr:rowOff>
    </xdr:to>
    <xdr:graphicFrame macro="">
      <xdr:nvGraphicFramePr>
        <xdr:cNvPr id="6" name="Diagramm 5">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Eigene%20Dateien\Meine%20Ordner\Horteb%202002\Objek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Eigene%20Datein%20auf%20D\Excel%20f&#252;r%20Ruth\Horteb%20Neu\Horteb0204_beispie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Eigene%20Dateien\Broukal\Dialog\DIALOG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Eigene%20Dateien\Broukal\Dialog\DIALOG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Eigene%20Datein%20auf%20D\Excel%20f&#252;r%20Ruth\Horteb%20Neu\Neue%20L&#246;sung.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Mappe1"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fz-sv-01\Daten-Ca\Daten\alle\Projekte%20Energie\Projekte%20F&#246;rderung\Sonderprojekte\LaRA\Abwicklung\Rechner%20Entwicklung\N&#228;hrstoffgehalte.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H:\Daten\alle\Biogas&amp;Mobilit&#228;t\Zeitlos\Berechnungsvorlagen\Berechnungen%20und%20Vorlagen\220520_Template_LaRA-Rechner_Gaseinspeiser.xlsm" TargetMode="External"/><Relationship Id="rId1" Type="http://schemas.openxmlformats.org/officeDocument/2006/relationships/externalLinkPath" Target="file:///\\tfz-sv-01\Daten\Daten\alle\Biogas&amp;Mobilit&#228;t\Zeitlos\Berechnungsvorlagen\Berechnungen%20und%20Vorlagen\220520_Template_LaRA-Rechner_Gaseinspeis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jekte"/>
    </sheetNames>
    <definedNames>
      <definedName name="AndereOptionenAbschalten"/>
      <definedName name="ButtonOK_BeiKlick"/>
      <definedName name="DialogObjekte_BeiAnzeigen"/>
      <definedName name="DrehRaster_BeiÄnderung"/>
      <definedName name="TextRaster_BeiÄnderung"/>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rteb0204_beispiel"/>
    </sheetNames>
    <definedNames>
      <definedName name="Button1_Klick"/>
      <definedName name="DL_fertig"/>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ALOG3"/>
    </sheetNames>
    <definedNames>
      <definedName name="Hinzufügen_BeiKlick"/>
      <definedName name="Löschen_BeiKlick"/>
      <definedName name="SortiertDazu_BeiKlick"/>
    </defined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ALOG3"/>
    </sheetNames>
    <definedNames>
      <definedName name="Hinzufügen_BeiKlick"/>
    </defined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ue Lösung"/>
    </sheetNames>
    <definedNames>
      <definedName name="Modul_DL1.Button1_Klick"/>
    </defined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e1"/>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ährstoffgehalte"/>
      <sheetName val="to do's"/>
    </sheetNames>
    <sheetDataSet>
      <sheetData sheetId="0"/>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Warum"/>
      <sheetName val="Offene Punkte"/>
      <sheetName val="Vergleichsanlage"/>
      <sheetName val="Übersicht"/>
      <sheetName val="Mastersheet"/>
      <sheetName val="Kostenrechnung"/>
      <sheetName val="Output"/>
      <sheetName val="Bezugsdaten"/>
      <sheetName val="Gasaufbereitungsanlagen"/>
      <sheetName val="Anschaffungswert nach KTBL"/>
      <sheetName val="Substrate"/>
      <sheetName val="Lfl Nähstoffdaten"/>
      <sheetName val="Boni"/>
      <sheetName val="EEG 2000-12"/>
      <sheetName val="Wärme"/>
      <sheetName val="Wetterstation"/>
      <sheetName val="Faktorpreissteigerung"/>
      <sheetName val="Zinskosten Herleitung"/>
      <sheetName val="DüWert"/>
      <sheetName val="Preis experiment"/>
    </sheetNames>
    <sheetDataSet>
      <sheetData sheetId="0"/>
      <sheetData sheetId="1"/>
      <sheetData sheetId="2"/>
      <sheetData sheetId="3"/>
      <sheetData sheetId="4"/>
      <sheetData sheetId="5"/>
      <sheetData sheetId="6"/>
      <sheetData sheetId="7">
        <row r="179">
          <cell r="D179"/>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2BB17-C993-4E71-B8C6-B6D6E4551211}">
  <dimension ref="A1:Q68"/>
  <sheetViews>
    <sheetView showGridLines="0" tabSelected="1" zoomScaleNormal="100" workbookViewId="0">
      <pane ySplit="10" topLeftCell="A11" activePane="bottomLeft" state="frozen"/>
      <selection activeCell="B26" sqref="B26"/>
      <selection pane="bottomLeft" activeCell="A5" sqref="A5:H5"/>
    </sheetView>
  </sheetViews>
  <sheetFormatPr baseColWidth="10" defaultColWidth="11.42578125" defaultRowHeight="15" customHeight="1" x14ac:dyDescent="0.2"/>
  <cols>
    <col min="1" max="1" width="26.7109375" style="339" customWidth="1"/>
    <col min="2" max="2" width="12.42578125" style="339" customWidth="1"/>
    <col min="3" max="3" width="10.140625" style="339" customWidth="1"/>
    <col min="4" max="4" width="10.28515625" style="339" bestFit="1" customWidth="1"/>
    <col min="5" max="5" width="18.85546875" style="339" customWidth="1"/>
    <col min="6" max="6" width="10.28515625" style="339" bestFit="1" customWidth="1"/>
    <col min="7" max="7" width="18.42578125" style="339" customWidth="1"/>
    <col min="8" max="8" width="18.28515625" style="339" customWidth="1"/>
    <col min="9" max="10" width="11.42578125" style="339"/>
    <col min="11" max="11" width="27.7109375" style="339" hidden="1" customWidth="1"/>
    <col min="12" max="12" width="11.42578125" style="339" hidden="1" customWidth="1"/>
    <col min="13" max="13" width="18.140625" style="339" hidden="1" customWidth="1"/>
    <col min="14" max="14" width="11.42578125" style="339" hidden="1" customWidth="1"/>
    <col min="15" max="15" width="16.85546875" style="339" hidden="1" customWidth="1"/>
    <col min="16" max="19" width="0" style="339" hidden="1" customWidth="1"/>
    <col min="20" max="16384" width="11.42578125" style="339"/>
  </cols>
  <sheetData>
    <row r="1" spans="1:17" s="5" customFormat="1" ht="27.75" x14ac:dyDescent="0.25">
      <c r="A1" s="345" t="s">
        <v>314</v>
      </c>
      <c r="B1" s="317"/>
      <c r="C1" s="317"/>
      <c r="D1" s="317"/>
    </row>
    <row r="2" spans="1:17" s="5" customFormat="1" ht="6" customHeight="1" x14ac:dyDescent="0.25">
      <c r="A2" s="345"/>
      <c r="B2" s="317"/>
      <c r="C2" s="317"/>
      <c r="D2" s="317"/>
    </row>
    <row r="3" spans="1:17" s="5" customFormat="1" ht="14.25" x14ac:dyDescent="0.25">
      <c r="A3" s="5" t="s">
        <v>75</v>
      </c>
      <c r="B3" s="317"/>
      <c r="C3" s="317"/>
      <c r="D3" s="317"/>
    </row>
    <row r="4" spans="1:17" s="5" customFormat="1" ht="6" customHeight="1" x14ac:dyDescent="0.25">
      <c r="A4" s="411"/>
      <c r="B4" s="317"/>
      <c r="C4" s="317"/>
      <c r="D4" s="317"/>
    </row>
    <row r="5" spans="1:17" s="5" customFormat="1" ht="15" customHeight="1" thickBot="1" x14ac:dyDescent="0.3">
      <c r="A5" s="507"/>
      <c r="B5" s="507"/>
      <c r="C5" s="507"/>
      <c r="D5" s="507"/>
      <c r="E5" s="507"/>
      <c r="F5" s="507"/>
      <c r="G5" s="507"/>
      <c r="H5" s="507"/>
    </row>
    <row r="6" spans="1:17" s="5" customFormat="1" ht="15" customHeight="1" x14ac:dyDescent="0.25">
      <c r="A6" s="508" t="s">
        <v>353</v>
      </c>
      <c r="B6" s="508"/>
      <c r="C6" s="508"/>
      <c r="D6" s="508"/>
      <c r="E6" s="508"/>
      <c r="F6" s="508"/>
      <c r="G6" s="508"/>
      <c r="H6" s="508"/>
    </row>
    <row r="7" spans="1:17" s="5" customFormat="1" ht="14.25" customHeight="1" x14ac:dyDescent="0.25">
      <c r="A7" s="411"/>
      <c r="B7" s="411"/>
      <c r="C7" s="411"/>
      <c r="D7" s="411"/>
      <c r="E7" s="411"/>
      <c r="F7" s="411"/>
      <c r="G7" s="411"/>
      <c r="H7" s="411"/>
    </row>
    <row r="8" spans="1:17" s="5" customFormat="1" x14ac:dyDescent="0.25">
      <c r="A8" s="411" t="s">
        <v>337</v>
      </c>
      <c r="B8" s="317"/>
      <c r="C8" s="317"/>
      <c r="D8" s="317"/>
    </row>
    <row r="9" spans="1:17" s="5" customFormat="1" ht="6" customHeight="1" x14ac:dyDescent="0.25">
      <c r="B9" s="317"/>
      <c r="C9" s="317"/>
      <c r="D9" s="317"/>
    </row>
    <row r="10" spans="1:17" s="332" customFormat="1" ht="26.25" x14ac:dyDescent="0.25">
      <c r="A10" s="394"/>
      <c r="B10" s="441" t="s">
        <v>74</v>
      </c>
      <c r="C10" s="442" t="s">
        <v>371</v>
      </c>
      <c r="D10" s="443" t="s">
        <v>18</v>
      </c>
      <c r="E10" s="443" t="s">
        <v>369</v>
      </c>
      <c r="F10" s="443" t="s">
        <v>370</v>
      </c>
      <c r="G10" s="441" t="s">
        <v>108</v>
      </c>
      <c r="H10" s="441" t="s">
        <v>109</v>
      </c>
    </row>
    <row r="11" spans="1:17" s="332" customFormat="1" ht="18.600000000000001" customHeight="1" x14ac:dyDescent="0.25">
      <c r="A11" s="367"/>
      <c r="B11" s="367"/>
      <c r="C11" s="505" t="str">
        <f t="shared" ref="C11:C29" si="0">IF(ISBLANK(A11),"",VLOOKUP($A11,$K$12:$P$25,3,FALSE))</f>
        <v/>
      </c>
      <c r="D11" s="340" t="str">
        <f>IF(ISBLANK(A11),"",VLOOKUP($A11,$K$12:$P$25,4,FALSE))</f>
        <v/>
      </c>
      <c r="E11" s="341" t="str">
        <f>IF(ISBLANK(A11),"",VLOOKUP($A11,$K$12:$P$25,5,FALSE))</f>
        <v/>
      </c>
      <c r="F11" s="340" t="str">
        <f>IF(ISBLANK(A11),"",VLOOKUP($A11,$K$12:$P$25,6,FALSE))</f>
        <v/>
      </c>
      <c r="G11" s="342" t="str">
        <f>IF(ISBLANK(A11),"",ROUND(B11*C11*D11*E11,0))</f>
        <v/>
      </c>
      <c r="H11" s="343" t="str">
        <f>IF(ISBLANK(A11),"",ROUND(G11*F11,0))</f>
        <v/>
      </c>
      <c r="K11" s="333" t="s">
        <v>34</v>
      </c>
      <c r="L11" s="334"/>
      <c r="M11" s="335" t="s">
        <v>17</v>
      </c>
      <c r="N11" s="335" t="s">
        <v>18</v>
      </c>
      <c r="O11" s="335" t="s">
        <v>19</v>
      </c>
      <c r="P11" s="335" t="s">
        <v>20</v>
      </c>
      <c r="Q11" s="334"/>
    </row>
    <row r="12" spans="1:17" s="332" customFormat="1" ht="18.600000000000001" customHeight="1" x14ac:dyDescent="0.2">
      <c r="A12" s="367"/>
      <c r="B12" s="367"/>
      <c r="C12" s="505" t="str">
        <f t="shared" si="0"/>
        <v/>
      </c>
      <c r="D12" s="340" t="str">
        <f t="shared" ref="D12:D29" si="1">IF(ISBLANK(A12),"",VLOOKUP($A12,$K$12:$P$25,4,FALSE))</f>
        <v/>
      </c>
      <c r="E12" s="341" t="str">
        <f t="shared" ref="E12:E29" si="2">IF(ISBLANK(A12),"",VLOOKUP($A12,$K$12:$P$25,5,FALSE))</f>
        <v/>
      </c>
      <c r="F12" s="340" t="str">
        <f t="shared" ref="F12:F29" si="3">IF(ISBLANK(A12),"",VLOOKUP($A12,$K$12:$P$25,6,FALSE))</f>
        <v/>
      </c>
      <c r="G12" s="342" t="str">
        <f t="shared" ref="G12:G29" si="4">IF(ISBLANK(A12),"",ROUND(B12*C12*D12*E12,0))</f>
        <v/>
      </c>
      <c r="H12" s="343" t="str">
        <f t="shared" ref="H12:H29" si="5">IF(ISBLANK(A12),"",ROUND(G12*F12,0))</f>
        <v/>
      </c>
      <c r="K12" s="336" t="s">
        <v>21</v>
      </c>
      <c r="L12" s="334"/>
      <c r="M12" s="337">
        <v>0.92200000000000004</v>
      </c>
      <c r="N12" s="337">
        <v>0.94399999999999995</v>
      </c>
      <c r="O12" s="338">
        <v>452</v>
      </c>
      <c r="P12" s="337">
        <v>0.52700000000000002</v>
      </c>
      <c r="Q12" s="334" t="s">
        <v>23</v>
      </c>
    </row>
    <row r="13" spans="1:17" s="332" customFormat="1" ht="18.600000000000001" customHeight="1" x14ac:dyDescent="0.2">
      <c r="A13" s="367"/>
      <c r="B13" s="367"/>
      <c r="C13" s="505" t="str">
        <f t="shared" si="0"/>
        <v/>
      </c>
      <c r="D13" s="340" t="str">
        <f t="shared" si="1"/>
        <v/>
      </c>
      <c r="E13" s="341" t="str">
        <f t="shared" si="2"/>
        <v/>
      </c>
      <c r="F13" s="340" t="str">
        <f t="shared" si="3"/>
        <v/>
      </c>
      <c r="G13" s="342" t="str">
        <f t="shared" si="4"/>
        <v/>
      </c>
      <c r="H13" s="343" t="str">
        <f t="shared" si="5"/>
        <v/>
      </c>
      <c r="K13" s="336" t="s">
        <v>22</v>
      </c>
      <c r="L13" s="334"/>
      <c r="M13" s="337">
        <v>0.5</v>
      </c>
      <c r="N13" s="337">
        <v>0.9</v>
      </c>
      <c r="O13" s="338">
        <v>580</v>
      </c>
      <c r="P13" s="337">
        <v>0.53</v>
      </c>
      <c r="Q13" s="334" t="s">
        <v>24</v>
      </c>
    </row>
    <row r="14" spans="1:17" s="332" customFormat="1" ht="18.600000000000001" customHeight="1" x14ac:dyDescent="0.2">
      <c r="A14" s="367"/>
      <c r="B14" s="367"/>
      <c r="C14" s="505" t="str">
        <f t="shared" si="0"/>
        <v/>
      </c>
      <c r="D14" s="340" t="str">
        <f t="shared" si="1"/>
        <v/>
      </c>
      <c r="E14" s="341" t="str">
        <f t="shared" si="2"/>
        <v/>
      </c>
      <c r="F14" s="340" t="str">
        <f t="shared" si="3"/>
        <v/>
      </c>
      <c r="G14" s="342" t="str">
        <f t="shared" si="4"/>
        <v/>
      </c>
      <c r="H14" s="343" t="str">
        <f t="shared" si="5"/>
        <v/>
      </c>
      <c r="K14" s="336" t="s">
        <v>25</v>
      </c>
      <c r="L14" s="334"/>
      <c r="M14" s="337">
        <v>8.8999999999999996E-2</v>
      </c>
      <c r="N14" s="337">
        <v>0.78900000000000003</v>
      </c>
      <c r="O14" s="338">
        <v>456</v>
      </c>
      <c r="P14" s="337">
        <v>0.56000000000000005</v>
      </c>
      <c r="Q14" s="334" t="s">
        <v>23</v>
      </c>
    </row>
    <row r="15" spans="1:17" s="332" customFormat="1" ht="18.600000000000001" customHeight="1" x14ac:dyDescent="0.2">
      <c r="A15" s="367"/>
      <c r="B15" s="367"/>
      <c r="C15" s="505" t="str">
        <f t="shared" si="0"/>
        <v/>
      </c>
      <c r="D15" s="340" t="str">
        <f t="shared" si="1"/>
        <v/>
      </c>
      <c r="E15" s="341" t="str">
        <f t="shared" si="2"/>
        <v/>
      </c>
      <c r="F15" s="340" t="str">
        <f t="shared" si="3"/>
        <v/>
      </c>
      <c r="G15" s="342" t="str">
        <f t="shared" si="4"/>
        <v/>
      </c>
      <c r="H15" s="343" t="str">
        <f t="shared" si="5"/>
        <v/>
      </c>
      <c r="K15" s="336" t="s">
        <v>26</v>
      </c>
      <c r="L15" s="334"/>
      <c r="M15" s="337">
        <v>0.20799999999999999</v>
      </c>
      <c r="N15" s="337">
        <v>0.85899999999999999</v>
      </c>
      <c r="O15" s="338">
        <v>343</v>
      </c>
      <c r="P15" s="337">
        <v>0.58199999999999996</v>
      </c>
      <c r="Q15" s="334" t="s">
        <v>23</v>
      </c>
    </row>
    <row r="16" spans="1:17" s="332" customFormat="1" ht="18.600000000000001" customHeight="1" x14ac:dyDescent="0.2">
      <c r="A16" s="367"/>
      <c r="B16" s="367"/>
      <c r="C16" s="505" t="str">
        <f t="shared" si="0"/>
        <v/>
      </c>
      <c r="D16" s="340" t="str">
        <f t="shared" si="1"/>
        <v/>
      </c>
      <c r="E16" s="341" t="str">
        <f t="shared" si="2"/>
        <v/>
      </c>
      <c r="F16" s="340" t="str">
        <f t="shared" si="3"/>
        <v/>
      </c>
      <c r="G16" s="342" t="str">
        <f t="shared" si="4"/>
        <v/>
      </c>
      <c r="H16" s="343" t="str">
        <f t="shared" si="5"/>
        <v/>
      </c>
      <c r="K16" s="336" t="s">
        <v>27</v>
      </c>
      <c r="L16" s="334"/>
      <c r="M16" s="337">
        <v>0.22900000000000001</v>
      </c>
      <c r="N16" s="337">
        <v>0.82199999999999995</v>
      </c>
      <c r="O16" s="338">
        <v>350</v>
      </c>
      <c r="P16" s="337">
        <v>0.57999999999999996</v>
      </c>
      <c r="Q16" s="334" t="s">
        <v>23</v>
      </c>
    </row>
    <row r="17" spans="1:17" s="332" customFormat="1" ht="18.600000000000001" customHeight="1" x14ac:dyDescent="0.2">
      <c r="A17" s="367"/>
      <c r="B17" s="367"/>
      <c r="C17" s="505" t="str">
        <f t="shared" si="0"/>
        <v/>
      </c>
      <c r="D17" s="340" t="str">
        <f t="shared" si="1"/>
        <v/>
      </c>
      <c r="E17" s="341" t="str">
        <f t="shared" si="2"/>
        <v/>
      </c>
      <c r="F17" s="340" t="str">
        <f t="shared" si="3"/>
        <v/>
      </c>
      <c r="G17" s="342" t="str">
        <f t="shared" si="4"/>
        <v/>
      </c>
      <c r="H17" s="343" t="str">
        <f t="shared" si="5"/>
        <v/>
      </c>
      <c r="K17" s="336" t="s">
        <v>28</v>
      </c>
      <c r="L17" s="334"/>
      <c r="M17" s="337">
        <v>4.8000000000000001E-2</v>
      </c>
      <c r="N17" s="337">
        <v>0.72699999999999998</v>
      </c>
      <c r="O17" s="338">
        <v>345</v>
      </c>
      <c r="P17" s="337">
        <v>0.67200000000000004</v>
      </c>
      <c r="Q17" s="334" t="s">
        <v>23</v>
      </c>
    </row>
    <row r="18" spans="1:17" s="332" customFormat="1" ht="18.600000000000001" customHeight="1" x14ac:dyDescent="0.2">
      <c r="A18" s="367"/>
      <c r="B18" s="367"/>
      <c r="C18" s="505" t="str">
        <f t="shared" si="0"/>
        <v/>
      </c>
      <c r="D18" s="340" t="str">
        <f t="shared" si="1"/>
        <v/>
      </c>
      <c r="E18" s="341" t="str">
        <f t="shared" si="2"/>
        <v/>
      </c>
      <c r="F18" s="340" t="str">
        <f t="shared" si="3"/>
        <v/>
      </c>
      <c r="G18" s="342" t="str">
        <f t="shared" si="4"/>
        <v/>
      </c>
      <c r="H18" s="343" t="str">
        <f t="shared" si="5"/>
        <v/>
      </c>
      <c r="K18" s="336" t="s">
        <v>29</v>
      </c>
      <c r="L18" s="334"/>
      <c r="M18" s="337">
        <v>0.255</v>
      </c>
      <c r="N18" s="337">
        <v>0.77600000000000002</v>
      </c>
      <c r="O18" s="338">
        <v>257</v>
      </c>
      <c r="P18" s="337">
        <v>0.58399999999999996</v>
      </c>
      <c r="Q18" s="334" t="s">
        <v>23</v>
      </c>
    </row>
    <row r="19" spans="1:17" s="332" customFormat="1" ht="18.600000000000001" customHeight="1" x14ac:dyDescent="0.2">
      <c r="A19" s="367"/>
      <c r="B19" s="367"/>
      <c r="C19" s="505" t="str">
        <f t="shared" si="0"/>
        <v/>
      </c>
      <c r="D19" s="340" t="str">
        <f t="shared" si="1"/>
        <v/>
      </c>
      <c r="E19" s="341" t="str">
        <f t="shared" si="2"/>
        <v/>
      </c>
      <c r="F19" s="340" t="str">
        <f t="shared" si="3"/>
        <v/>
      </c>
      <c r="G19" s="342" t="str">
        <f t="shared" si="4"/>
        <v/>
      </c>
      <c r="H19" s="343" t="str">
        <f t="shared" si="5"/>
        <v/>
      </c>
      <c r="K19" s="336" t="s">
        <v>30</v>
      </c>
      <c r="L19" s="334"/>
      <c r="M19" s="337">
        <v>0.315</v>
      </c>
      <c r="N19" s="337">
        <v>0.81799999999999995</v>
      </c>
      <c r="O19" s="338">
        <v>394</v>
      </c>
      <c r="P19" s="337">
        <v>0.55600000000000005</v>
      </c>
      <c r="Q19" s="334" t="s">
        <v>23</v>
      </c>
    </row>
    <row r="20" spans="1:17" s="332" customFormat="1" ht="18.600000000000001" customHeight="1" x14ac:dyDescent="0.2">
      <c r="A20" s="367"/>
      <c r="B20" s="367"/>
      <c r="C20" s="505" t="str">
        <f t="shared" si="0"/>
        <v/>
      </c>
      <c r="D20" s="340" t="str">
        <f t="shared" si="1"/>
        <v/>
      </c>
      <c r="E20" s="341" t="str">
        <f t="shared" si="2"/>
        <v/>
      </c>
      <c r="F20" s="340" t="str">
        <f t="shared" si="3"/>
        <v/>
      </c>
      <c r="G20" s="342" t="str">
        <f t="shared" si="4"/>
        <v/>
      </c>
      <c r="H20" s="343" t="str">
        <f t="shared" si="5"/>
        <v/>
      </c>
      <c r="K20" s="336" t="s">
        <v>31</v>
      </c>
      <c r="L20" s="334"/>
      <c r="M20" s="337">
        <v>0.50900000000000001</v>
      </c>
      <c r="N20" s="337">
        <v>0.78700000000000003</v>
      </c>
      <c r="O20" s="338">
        <v>456</v>
      </c>
      <c r="P20" s="337">
        <v>0.56000000000000005</v>
      </c>
      <c r="Q20" s="334" t="s">
        <v>23</v>
      </c>
    </row>
    <row r="21" spans="1:17" s="332" customFormat="1" ht="18.600000000000001" customHeight="1" x14ac:dyDescent="0.2">
      <c r="A21" s="367"/>
      <c r="B21" s="367"/>
      <c r="C21" s="505" t="str">
        <f t="shared" si="0"/>
        <v/>
      </c>
      <c r="D21" s="340" t="str">
        <f t="shared" si="1"/>
        <v/>
      </c>
      <c r="E21" s="341" t="str">
        <f t="shared" si="2"/>
        <v/>
      </c>
      <c r="F21" s="340" t="str">
        <f t="shared" si="3"/>
        <v/>
      </c>
      <c r="G21" s="342" t="str">
        <f t="shared" si="4"/>
        <v/>
      </c>
      <c r="H21" s="343" t="str">
        <f t="shared" si="5"/>
        <v/>
      </c>
      <c r="K21" s="336" t="s">
        <v>32</v>
      </c>
      <c r="L21" s="334"/>
      <c r="M21" s="337">
        <v>0.5</v>
      </c>
      <c r="N21" s="337">
        <v>0.8</v>
      </c>
      <c r="O21" s="338">
        <v>500</v>
      </c>
      <c r="P21" s="337">
        <v>0.56000000000000005</v>
      </c>
      <c r="Q21" s="334" t="s">
        <v>24</v>
      </c>
    </row>
    <row r="22" spans="1:17" s="332" customFormat="1" ht="18.600000000000001" customHeight="1" x14ac:dyDescent="0.2">
      <c r="A22" s="367"/>
      <c r="B22" s="367"/>
      <c r="C22" s="505" t="str">
        <f t="shared" si="0"/>
        <v/>
      </c>
      <c r="D22" s="340" t="str">
        <f t="shared" si="1"/>
        <v/>
      </c>
      <c r="E22" s="341" t="str">
        <f t="shared" si="2"/>
        <v/>
      </c>
      <c r="F22" s="340" t="str">
        <f t="shared" si="3"/>
        <v/>
      </c>
      <c r="G22" s="342" t="str">
        <f t="shared" si="4"/>
        <v/>
      </c>
      <c r="H22" s="343" t="str">
        <f t="shared" si="5"/>
        <v/>
      </c>
      <c r="K22" s="336" t="s">
        <v>304</v>
      </c>
      <c r="L22" s="334"/>
      <c r="M22" s="337">
        <v>0.35599999999999998</v>
      </c>
      <c r="N22" s="337">
        <v>0.88900000000000001</v>
      </c>
      <c r="O22" s="338">
        <v>564</v>
      </c>
      <c r="P22" s="337">
        <v>0.57099999999999995</v>
      </c>
      <c r="Q22" s="334" t="s">
        <v>23</v>
      </c>
    </row>
    <row r="23" spans="1:17" s="332" customFormat="1" ht="18.600000000000001" customHeight="1" x14ac:dyDescent="0.2">
      <c r="A23" s="367"/>
      <c r="B23" s="367"/>
      <c r="C23" s="505" t="str">
        <f t="shared" si="0"/>
        <v/>
      </c>
      <c r="D23" s="340" t="str">
        <f t="shared" si="1"/>
        <v/>
      </c>
      <c r="E23" s="341" t="str">
        <f t="shared" si="2"/>
        <v/>
      </c>
      <c r="F23" s="340" t="str">
        <f t="shared" si="3"/>
        <v/>
      </c>
      <c r="G23" s="342" t="str">
        <f t="shared" si="4"/>
        <v/>
      </c>
      <c r="H23" s="343" t="str">
        <f t="shared" si="5"/>
        <v/>
      </c>
      <c r="K23" s="336" t="s">
        <v>305</v>
      </c>
      <c r="L23" s="334"/>
      <c r="M23" s="337">
        <v>0.35</v>
      </c>
      <c r="N23" s="337">
        <v>0.85599999999999998</v>
      </c>
      <c r="O23" s="338">
        <v>592</v>
      </c>
      <c r="P23" s="337">
        <v>0.54600000000000004</v>
      </c>
      <c r="Q23" s="334" t="s">
        <v>308</v>
      </c>
    </row>
    <row r="24" spans="1:17" s="332" customFormat="1" ht="18.600000000000001" customHeight="1" x14ac:dyDescent="0.2">
      <c r="A24" s="367"/>
      <c r="B24" s="367"/>
      <c r="C24" s="505" t="str">
        <f t="shared" si="0"/>
        <v/>
      </c>
      <c r="D24" s="340" t="str">
        <f t="shared" si="1"/>
        <v/>
      </c>
      <c r="E24" s="341" t="str">
        <f t="shared" si="2"/>
        <v/>
      </c>
      <c r="F24" s="340" t="str">
        <f t="shared" si="3"/>
        <v/>
      </c>
      <c r="G24" s="342" t="str">
        <f t="shared" si="4"/>
        <v/>
      </c>
      <c r="H24" s="343" t="str">
        <f t="shared" si="5"/>
        <v/>
      </c>
      <c r="K24" s="336" t="s">
        <v>306</v>
      </c>
      <c r="L24" s="334"/>
      <c r="M24" s="337">
        <v>0.25</v>
      </c>
      <c r="N24" s="337">
        <v>0.88600000000000001</v>
      </c>
      <c r="O24" s="338">
        <v>608</v>
      </c>
      <c r="P24" s="337">
        <v>0.54200000000000004</v>
      </c>
      <c r="Q24" s="334" t="s">
        <v>308</v>
      </c>
    </row>
    <row r="25" spans="1:17" s="332" customFormat="1" ht="18.600000000000001" customHeight="1" x14ac:dyDescent="0.2">
      <c r="A25" s="367"/>
      <c r="B25" s="367"/>
      <c r="C25" s="505" t="str">
        <f t="shared" si="0"/>
        <v/>
      </c>
      <c r="D25" s="340" t="str">
        <f t="shared" si="1"/>
        <v/>
      </c>
      <c r="E25" s="341" t="str">
        <f t="shared" si="2"/>
        <v/>
      </c>
      <c r="F25" s="340" t="str">
        <f t="shared" si="3"/>
        <v/>
      </c>
      <c r="G25" s="342" t="str">
        <f t="shared" si="4"/>
        <v/>
      </c>
      <c r="H25" s="343" t="str">
        <f t="shared" si="5"/>
        <v/>
      </c>
      <c r="K25" s="336" t="s">
        <v>307</v>
      </c>
      <c r="L25" s="334"/>
      <c r="M25" s="337">
        <v>0.14000000000000001</v>
      </c>
      <c r="N25" s="337">
        <v>0.8</v>
      </c>
      <c r="O25" s="338">
        <v>673</v>
      </c>
      <c r="P25" s="337">
        <v>0.55900000000000005</v>
      </c>
      <c r="Q25" s="334" t="s">
        <v>309</v>
      </c>
    </row>
    <row r="26" spans="1:17" s="332" customFormat="1" ht="18.600000000000001" customHeight="1" x14ac:dyDescent="0.25">
      <c r="A26" s="367"/>
      <c r="B26" s="367"/>
      <c r="C26" s="505" t="str">
        <f t="shared" si="0"/>
        <v/>
      </c>
      <c r="D26" s="340" t="str">
        <f t="shared" si="1"/>
        <v/>
      </c>
      <c r="E26" s="341" t="str">
        <f t="shared" si="2"/>
        <v/>
      </c>
      <c r="F26" s="340" t="str">
        <f t="shared" si="3"/>
        <v/>
      </c>
      <c r="G26" s="342" t="str">
        <f t="shared" si="4"/>
        <v/>
      </c>
      <c r="H26" s="343" t="str">
        <f t="shared" si="5"/>
        <v/>
      </c>
    </row>
    <row r="27" spans="1:17" s="332" customFormat="1" ht="18.600000000000001" customHeight="1" x14ac:dyDescent="0.25">
      <c r="A27" s="367"/>
      <c r="B27" s="367"/>
      <c r="C27" s="505" t="str">
        <f t="shared" si="0"/>
        <v/>
      </c>
      <c r="D27" s="340" t="str">
        <f t="shared" si="1"/>
        <v/>
      </c>
      <c r="E27" s="341" t="str">
        <f t="shared" si="2"/>
        <v/>
      </c>
      <c r="F27" s="340" t="str">
        <f t="shared" si="3"/>
        <v/>
      </c>
      <c r="G27" s="342" t="str">
        <f t="shared" si="4"/>
        <v/>
      </c>
      <c r="H27" s="343" t="str">
        <f t="shared" si="5"/>
        <v/>
      </c>
    </row>
    <row r="28" spans="1:17" s="332" customFormat="1" ht="18.600000000000001" customHeight="1" x14ac:dyDescent="0.25">
      <c r="A28" s="367"/>
      <c r="B28" s="367"/>
      <c r="C28" s="505" t="str">
        <f t="shared" si="0"/>
        <v/>
      </c>
      <c r="D28" s="340" t="str">
        <f t="shared" si="1"/>
        <v/>
      </c>
      <c r="E28" s="341" t="str">
        <f t="shared" si="2"/>
        <v/>
      </c>
      <c r="F28" s="340" t="str">
        <f t="shared" si="3"/>
        <v/>
      </c>
      <c r="G28" s="342" t="str">
        <f t="shared" si="4"/>
        <v/>
      </c>
      <c r="H28" s="343" t="str">
        <f t="shared" si="5"/>
        <v/>
      </c>
    </row>
    <row r="29" spans="1:17" s="332" customFormat="1" ht="18.600000000000001" customHeight="1" x14ac:dyDescent="0.25">
      <c r="A29" s="367"/>
      <c r="B29" s="367"/>
      <c r="C29" s="505" t="str">
        <f t="shared" si="0"/>
        <v/>
      </c>
      <c r="D29" s="340" t="str">
        <f t="shared" si="1"/>
        <v/>
      </c>
      <c r="E29" s="341" t="str">
        <f t="shared" si="2"/>
        <v/>
      </c>
      <c r="F29" s="340" t="str">
        <f t="shared" si="3"/>
        <v/>
      </c>
      <c r="G29" s="342" t="str">
        <f t="shared" si="4"/>
        <v/>
      </c>
      <c r="H29" s="343" t="str">
        <f t="shared" si="5"/>
        <v/>
      </c>
    </row>
    <row r="30" spans="1:17" s="332" customFormat="1" ht="25.5" customHeight="1" x14ac:dyDescent="0.25">
      <c r="A30" s="519" t="s">
        <v>354</v>
      </c>
      <c r="B30" s="520"/>
      <c r="C30" s="520"/>
      <c r="D30" s="520"/>
      <c r="E30" s="520"/>
      <c r="F30" s="520"/>
      <c r="G30" s="520"/>
      <c r="H30" s="521"/>
    </row>
    <row r="31" spans="1:17" s="332" customFormat="1" ht="18.600000000000001" customHeight="1" x14ac:dyDescent="0.25">
      <c r="A31" s="367"/>
      <c r="B31" s="367"/>
      <c r="C31" s="439"/>
      <c r="D31" s="439"/>
      <c r="E31" s="440"/>
      <c r="F31" s="439"/>
      <c r="G31" s="383" t="str">
        <f>IF(ISBLANK(A31),"0 m³ BG",ROUND(B31*C31*D31*E31,0))</f>
        <v>0 m³ BG</v>
      </c>
      <c r="H31" s="384" t="str">
        <f>IF(ISBLANK(A31),"0 m³ M",ROUND(G31*F31,0))</f>
        <v>0 m³ M</v>
      </c>
    </row>
    <row r="32" spans="1:17" s="332" customFormat="1" ht="18.600000000000001" customHeight="1" x14ac:dyDescent="0.25">
      <c r="A32" s="367"/>
      <c r="B32" s="367"/>
      <c r="C32" s="439"/>
      <c r="D32" s="439"/>
      <c r="E32" s="440"/>
      <c r="F32" s="439"/>
      <c r="G32" s="383" t="str">
        <f t="shared" ref="G32:G51" si="6">IF(ISBLANK(A32),"0 m³ BG",ROUND(B32*C32*D32*E32,0))</f>
        <v>0 m³ BG</v>
      </c>
      <c r="H32" s="384" t="str">
        <f t="shared" ref="H32:H51" si="7">IF(ISBLANK(A32),"0 m³ M",ROUND(G32*F32,0))</f>
        <v>0 m³ M</v>
      </c>
    </row>
    <row r="33" spans="1:8" s="332" customFormat="1" ht="18.600000000000001" customHeight="1" x14ac:dyDescent="0.25">
      <c r="A33" s="367"/>
      <c r="B33" s="367"/>
      <c r="C33" s="439"/>
      <c r="D33" s="439"/>
      <c r="E33" s="440"/>
      <c r="F33" s="439"/>
      <c r="G33" s="383" t="str">
        <f t="shared" si="6"/>
        <v>0 m³ BG</v>
      </c>
      <c r="H33" s="384" t="str">
        <f t="shared" si="7"/>
        <v>0 m³ M</v>
      </c>
    </row>
    <row r="34" spans="1:8" s="332" customFormat="1" ht="18.600000000000001" customHeight="1" x14ac:dyDescent="0.25">
      <c r="A34" s="367"/>
      <c r="B34" s="367"/>
      <c r="C34" s="439"/>
      <c r="D34" s="439"/>
      <c r="E34" s="440"/>
      <c r="F34" s="439"/>
      <c r="G34" s="383" t="str">
        <f t="shared" si="6"/>
        <v>0 m³ BG</v>
      </c>
      <c r="H34" s="384" t="str">
        <f t="shared" si="7"/>
        <v>0 m³ M</v>
      </c>
    </row>
    <row r="35" spans="1:8" s="332" customFormat="1" ht="18.600000000000001" customHeight="1" x14ac:dyDescent="0.25">
      <c r="A35" s="367"/>
      <c r="B35" s="367"/>
      <c r="C35" s="439"/>
      <c r="D35" s="439"/>
      <c r="E35" s="440"/>
      <c r="F35" s="439"/>
      <c r="G35" s="383" t="str">
        <f t="shared" ref="G35:G46" si="8">IF(ISBLANK(A35),"0 m³ BG",ROUND(B35*C35*D35*E35,0))</f>
        <v>0 m³ BG</v>
      </c>
      <c r="H35" s="384" t="str">
        <f t="shared" ref="H35:H46" si="9">IF(ISBLANK(A35),"0 m³ M",ROUND(G35*F35,0))</f>
        <v>0 m³ M</v>
      </c>
    </row>
    <row r="36" spans="1:8" s="332" customFormat="1" ht="18.600000000000001" customHeight="1" x14ac:dyDescent="0.25">
      <c r="A36" s="367"/>
      <c r="B36" s="367"/>
      <c r="C36" s="439"/>
      <c r="D36" s="439"/>
      <c r="E36" s="440"/>
      <c r="F36" s="439"/>
      <c r="G36" s="383" t="str">
        <f t="shared" si="8"/>
        <v>0 m³ BG</v>
      </c>
      <c r="H36" s="384" t="str">
        <f t="shared" si="9"/>
        <v>0 m³ M</v>
      </c>
    </row>
    <row r="37" spans="1:8" s="332" customFormat="1" ht="18.600000000000001" customHeight="1" x14ac:dyDescent="0.25">
      <c r="A37" s="367"/>
      <c r="B37" s="367"/>
      <c r="C37" s="439"/>
      <c r="D37" s="439"/>
      <c r="E37" s="440"/>
      <c r="F37" s="439"/>
      <c r="G37" s="383" t="str">
        <f t="shared" si="8"/>
        <v>0 m³ BG</v>
      </c>
      <c r="H37" s="384" t="str">
        <f t="shared" si="9"/>
        <v>0 m³ M</v>
      </c>
    </row>
    <row r="38" spans="1:8" s="332" customFormat="1" ht="18.600000000000001" customHeight="1" x14ac:dyDescent="0.25">
      <c r="A38" s="367"/>
      <c r="B38" s="367"/>
      <c r="C38" s="439"/>
      <c r="D38" s="439"/>
      <c r="E38" s="440"/>
      <c r="F38" s="439"/>
      <c r="G38" s="383" t="str">
        <f t="shared" si="8"/>
        <v>0 m³ BG</v>
      </c>
      <c r="H38" s="384" t="str">
        <f t="shared" si="9"/>
        <v>0 m³ M</v>
      </c>
    </row>
    <row r="39" spans="1:8" s="332" customFormat="1" ht="18.600000000000001" customHeight="1" x14ac:dyDescent="0.25">
      <c r="A39" s="367"/>
      <c r="B39" s="367"/>
      <c r="C39" s="439"/>
      <c r="D39" s="439"/>
      <c r="E39" s="440"/>
      <c r="F39" s="439"/>
      <c r="G39" s="383" t="str">
        <f t="shared" si="8"/>
        <v>0 m³ BG</v>
      </c>
      <c r="H39" s="384" t="str">
        <f t="shared" si="9"/>
        <v>0 m³ M</v>
      </c>
    </row>
    <row r="40" spans="1:8" s="332" customFormat="1" ht="18.600000000000001" customHeight="1" x14ac:dyDescent="0.25">
      <c r="A40" s="367"/>
      <c r="B40" s="367"/>
      <c r="C40" s="439"/>
      <c r="D40" s="439"/>
      <c r="E40" s="440"/>
      <c r="F40" s="439"/>
      <c r="G40" s="383" t="str">
        <f t="shared" si="8"/>
        <v>0 m³ BG</v>
      </c>
      <c r="H40" s="384" t="str">
        <f t="shared" si="9"/>
        <v>0 m³ M</v>
      </c>
    </row>
    <row r="41" spans="1:8" s="332" customFormat="1" ht="18.600000000000001" customHeight="1" x14ac:dyDescent="0.25">
      <c r="A41" s="367"/>
      <c r="B41" s="367"/>
      <c r="C41" s="439"/>
      <c r="D41" s="439"/>
      <c r="E41" s="440"/>
      <c r="F41" s="439"/>
      <c r="G41" s="383" t="str">
        <f t="shared" si="8"/>
        <v>0 m³ BG</v>
      </c>
      <c r="H41" s="384" t="str">
        <f t="shared" si="9"/>
        <v>0 m³ M</v>
      </c>
    </row>
    <row r="42" spans="1:8" s="332" customFormat="1" ht="18.600000000000001" customHeight="1" x14ac:dyDescent="0.25">
      <c r="A42" s="367"/>
      <c r="B42" s="367"/>
      <c r="C42" s="439"/>
      <c r="D42" s="439"/>
      <c r="E42" s="440"/>
      <c r="F42" s="439"/>
      <c r="G42" s="383" t="str">
        <f t="shared" si="8"/>
        <v>0 m³ BG</v>
      </c>
      <c r="H42" s="384" t="str">
        <f t="shared" si="9"/>
        <v>0 m³ M</v>
      </c>
    </row>
    <row r="43" spans="1:8" s="332" customFormat="1" ht="18.600000000000001" customHeight="1" x14ac:dyDescent="0.25">
      <c r="A43" s="367"/>
      <c r="B43" s="367"/>
      <c r="C43" s="439"/>
      <c r="D43" s="439"/>
      <c r="E43" s="440"/>
      <c r="F43" s="439"/>
      <c r="G43" s="383" t="str">
        <f t="shared" si="8"/>
        <v>0 m³ BG</v>
      </c>
      <c r="H43" s="384" t="str">
        <f t="shared" si="9"/>
        <v>0 m³ M</v>
      </c>
    </row>
    <row r="44" spans="1:8" s="332" customFormat="1" ht="18.600000000000001" customHeight="1" x14ac:dyDescent="0.25">
      <c r="A44" s="367"/>
      <c r="B44" s="367"/>
      <c r="C44" s="439"/>
      <c r="D44" s="439"/>
      <c r="E44" s="440"/>
      <c r="F44" s="439"/>
      <c r="G44" s="383" t="str">
        <f t="shared" si="8"/>
        <v>0 m³ BG</v>
      </c>
      <c r="H44" s="384" t="str">
        <f t="shared" si="9"/>
        <v>0 m³ M</v>
      </c>
    </row>
    <row r="45" spans="1:8" s="332" customFormat="1" ht="18.600000000000001" customHeight="1" x14ac:dyDescent="0.25">
      <c r="A45" s="367"/>
      <c r="B45" s="367"/>
      <c r="C45" s="439"/>
      <c r="D45" s="439"/>
      <c r="E45" s="440"/>
      <c r="F45" s="439"/>
      <c r="G45" s="383" t="str">
        <f t="shared" si="8"/>
        <v>0 m³ BG</v>
      </c>
      <c r="H45" s="384" t="str">
        <f t="shared" si="9"/>
        <v>0 m³ M</v>
      </c>
    </row>
    <row r="46" spans="1:8" s="332" customFormat="1" ht="18.600000000000001" customHeight="1" x14ac:dyDescent="0.25">
      <c r="A46" s="367"/>
      <c r="B46" s="367"/>
      <c r="C46" s="439"/>
      <c r="D46" s="439"/>
      <c r="E46" s="440"/>
      <c r="F46" s="439"/>
      <c r="G46" s="383" t="str">
        <f t="shared" si="8"/>
        <v>0 m³ BG</v>
      </c>
      <c r="H46" s="384" t="str">
        <f t="shared" si="9"/>
        <v>0 m³ M</v>
      </c>
    </row>
    <row r="47" spans="1:8" s="332" customFormat="1" ht="18.600000000000001" customHeight="1" x14ac:dyDescent="0.25">
      <c r="A47" s="367"/>
      <c r="B47" s="367"/>
      <c r="C47" s="439"/>
      <c r="D47" s="439"/>
      <c r="E47" s="440"/>
      <c r="F47" s="439"/>
      <c r="G47" s="383" t="str">
        <f t="shared" si="6"/>
        <v>0 m³ BG</v>
      </c>
      <c r="H47" s="384" t="str">
        <f t="shared" si="7"/>
        <v>0 m³ M</v>
      </c>
    </row>
    <row r="48" spans="1:8" s="332" customFormat="1" ht="18.600000000000001" customHeight="1" x14ac:dyDescent="0.25">
      <c r="A48" s="367"/>
      <c r="B48" s="367"/>
      <c r="C48" s="439"/>
      <c r="D48" s="439"/>
      <c r="E48" s="440"/>
      <c r="F48" s="439"/>
      <c r="G48" s="383" t="str">
        <f t="shared" si="6"/>
        <v>0 m³ BG</v>
      </c>
      <c r="H48" s="384" t="str">
        <f t="shared" si="7"/>
        <v>0 m³ M</v>
      </c>
    </row>
    <row r="49" spans="1:17" s="332" customFormat="1" ht="18.600000000000001" customHeight="1" x14ac:dyDescent="0.25">
      <c r="A49" s="367"/>
      <c r="B49" s="367"/>
      <c r="C49" s="439"/>
      <c r="D49" s="439"/>
      <c r="E49" s="440"/>
      <c r="F49" s="439"/>
      <c r="G49" s="383" t="str">
        <f t="shared" si="6"/>
        <v>0 m³ BG</v>
      </c>
      <c r="H49" s="384" t="str">
        <f t="shared" si="7"/>
        <v>0 m³ M</v>
      </c>
    </row>
    <row r="50" spans="1:17" s="332" customFormat="1" ht="18.600000000000001" customHeight="1" x14ac:dyDescent="0.25">
      <c r="A50" s="367"/>
      <c r="B50" s="367"/>
      <c r="C50" s="439"/>
      <c r="D50" s="439"/>
      <c r="E50" s="440"/>
      <c r="F50" s="439"/>
      <c r="G50" s="383" t="str">
        <f t="shared" si="6"/>
        <v>0 m³ BG</v>
      </c>
      <c r="H50" s="384" t="str">
        <f t="shared" si="7"/>
        <v>0 m³ M</v>
      </c>
    </row>
    <row r="51" spans="1:17" s="332" customFormat="1" ht="18.600000000000001" customHeight="1" thickBot="1" x14ac:dyDescent="0.3">
      <c r="A51" s="457"/>
      <c r="B51" s="457"/>
      <c r="C51" s="458"/>
      <c r="D51" s="458"/>
      <c r="E51" s="459"/>
      <c r="F51" s="458"/>
      <c r="G51" s="401" t="str">
        <f t="shared" si="6"/>
        <v>0 m³ BG</v>
      </c>
      <c r="H51" s="402" t="str">
        <f t="shared" si="7"/>
        <v>0 m³ M</v>
      </c>
    </row>
    <row r="52" spans="1:17" s="332" customFormat="1" ht="15.75" thickTop="1" x14ac:dyDescent="0.25">
      <c r="A52" s="403" t="s">
        <v>342</v>
      </c>
      <c r="B52" s="409">
        <f>SUM(B31:B51,B11:B29)</f>
        <v>0</v>
      </c>
      <c r="C52" s="404"/>
      <c r="D52" s="404"/>
      <c r="E52" s="405"/>
      <c r="F52" s="406" t="str">
        <f>IF(G52=0,"",ROUND(H52/G52,3))</f>
        <v/>
      </c>
      <c r="G52" s="407">
        <f>SUM(G11:G51)</f>
        <v>0</v>
      </c>
      <c r="H52" s="408">
        <f>SUM(H11:H51)</f>
        <v>0</v>
      </c>
    </row>
    <row r="53" spans="1:17" s="332" customFormat="1" ht="15.75" thickBot="1" x14ac:dyDescent="0.3">
      <c r="A53" s="450"/>
      <c r="B53" s="451"/>
      <c r="C53" s="452"/>
      <c r="D53" s="452"/>
      <c r="E53" s="453"/>
      <c r="F53" s="454"/>
      <c r="G53" s="455"/>
      <c r="H53" s="456"/>
    </row>
    <row r="54" spans="1:17" s="444" customFormat="1" ht="14.25" x14ac:dyDescent="0.2">
      <c r="A54" s="509" t="s">
        <v>372</v>
      </c>
      <c r="B54" s="510"/>
      <c r="C54" s="510"/>
      <c r="D54" s="510"/>
      <c r="E54" s="510"/>
      <c r="F54" s="510"/>
      <c r="G54" s="510"/>
      <c r="H54" s="511"/>
      <c r="Q54" s="445" t="e">
        <f>ROUND(G52*F52,0)</f>
        <v>#VALUE!</v>
      </c>
    </row>
    <row r="55" spans="1:17" s="444" customFormat="1" ht="14.25" x14ac:dyDescent="0.2">
      <c r="A55" s="512"/>
      <c r="B55" s="513"/>
      <c r="C55" s="513"/>
      <c r="D55" s="513"/>
      <c r="E55" s="513"/>
      <c r="F55" s="513"/>
      <c r="G55" s="513"/>
      <c r="H55" s="514"/>
    </row>
    <row r="56" spans="1:17" s="444" customFormat="1" ht="9" customHeight="1" thickBot="1" x14ac:dyDescent="0.25">
      <c r="A56" s="515"/>
      <c r="B56" s="516"/>
      <c r="C56" s="516"/>
      <c r="D56" s="516"/>
      <c r="E56" s="516"/>
      <c r="F56" s="516"/>
      <c r="G56" s="516"/>
      <c r="H56" s="517"/>
    </row>
    <row r="57" spans="1:17" s="444" customFormat="1" ht="14.25" x14ac:dyDescent="0.2"/>
    <row r="58" spans="1:17" s="444" customFormat="1" ht="24" customHeight="1" x14ac:dyDescent="0.2">
      <c r="A58" s="518"/>
      <c r="B58" s="518"/>
      <c r="C58" s="518"/>
    </row>
    <row r="59" spans="1:17" s="444" customFormat="1" ht="14.25" x14ac:dyDescent="0.2">
      <c r="A59" s="446" t="s">
        <v>15</v>
      </c>
      <c r="B59" s="447"/>
      <c r="C59" s="448"/>
      <c r="D59" s="449"/>
      <c r="E59" s="446" t="s">
        <v>16</v>
      </c>
      <c r="F59" s="448"/>
      <c r="G59" s="448"/>
      <c r="H59" s="448"/>
    </row>
    <row r="60" spans="1:17" s="334" customFormat="1" ht="14.25" x14ac:dyDescent="0.2"/>
    <row r="61" spans="1:17" s="334" customFormat="1" ht="14.25" x14ac:dyDescent="0.2"/>
    <row r="62" spans="1:17" s="334" customFormat="1" ht="14.25" x14ac:dyDescent="0.2"/>
    <row r="63" spans="1:17" s="334" customFormat="1" ht="14.25" x14ac:dyDescent="0.2"/>
    <row r="64" spans="1:17" s="334" customFormat="1" ht="14.25" x14ac:dyDescent="0.2"/>
    <row r="65" s="334" customFormat="1" ht="14.25" x14ac:dyDescent="0.2"/>
    <row r="66" s="334" customFormat="1" ht="14.25" x14ac:dyDescent="0.2"/>
    <row r="67" s="334" customFormat="1" ht="14.25" x14ac:dyDescent="0.2"/>
    <row r="68" s="334" customFormat="1" ht="14.25" x14ac:dyDescent="0.2"/>
  </sheetData>
  <sheetProtection algorithmName="SHA-512" hashValue="Ty3Y5CabMfmIxRpQpMGxsZ50lFOWpaWiBL6S9azud4XNrO38mgQSQpXjxyeDhKwSJBM6ZqqMhgl+/m/bhXPx7A==" saltValue="wHz13q8/+2ABAoh0w9xdMw==" spinCount="100000" sheet="1" objects="1" scenarios="1"/>
  <mergeCells count="5">
    <mergeCell ref="A5:H5"/>
    <mergeCell ref="A6:H6"/>
    <mergeCell ref="A54:H56"/>
    <mergeCell ref="A58:C58"/>
    <mergeCell ref="A30:H30"/>
  </mergeCells>
  <conditionalFormatting sqref="A11:B29">
    <cfRule type="expression" dxfId="74" priority="13">
      <formula>ISBLANK(A11)</formula>
    </cfRule>
  </conditionalFormatting>
  <conditionalFormatting sqref="A41:B51">
    <cfRule type="expression" dxfId="73" priority="11">
      <formula>ISBLANK(A41)</formula>
    </cfRule>
  </conditionalFormatting>
  <conditionalFormatting sqref="C41:F51">
    <cfRule type="expression" dxfId="72" priority="10">
      <formula>ISBLANK(C41)</formula>
    </cfRule>
  </conditionalFormatting>
  <conditionalFormatting sqref="A5:H5">
    <cfRule type="expression" dxfId="71" priority="9">
      <formula>ISBLANK($A$5)</formula>
    </cfRule>
  </conditionalFormatting>
  <conditionalFormatting sqref="A38">
    <cfRule type="expression" dxfId="70" priority="8">
      <formula>ISBLANK(A38)</formula>
    </cfRule>
  </conditionalFormatting>
  <conditionalFormatting sqref="A31:A37 B31:B40">
    <cfRule type="expression" dxfId="69" priority="7">
      <formula>ISBLANK(A31)</formula>
    </cfRule>
  </conditionalFormatting>
  <conditionalFormatting sqref="A39:A40">
    <cfRule type="expression" dxfId="68" priority="6">
      <formula>ISBLANK(A39)</formula>
    </cfRule>
  </conditionalFormatting>
  <conditionalFormatting sqref="C31:C40">
    <cfRule type="expression" dxfId="67" priority="5">
      <formula>ISBLANK(C31)</formula>
    </cfRule>
  </conditionalFormatting>
  <conditionalFormatting sqref="D31:D40">
    <cfRule type="expression" dxfId="66" priority="4">
      <formula>ISBLANK(D31)</formula>
    </cfRule>
  </conditionalFormatting>
  <conditionalFormatting sqref="E31:E40">
    <cfRule type="expression" dxfId="65" priority="3">
      <formula>ISBLANK(E31)</formula>
    </cfRule>
  </conditionalFormatting>
  <conditionalFormatting sqref="F31:F40">
    <cfRule type="expression" dxfId="64" priority="2">
      <formula>ISBLANK(F31)</formula>
    </cfRule>
  </conditionalFormatting>
  <conditionalFormatting sqref="A58:C58">
    <cfRule type="expression" dxfId="63" priority="1">
      <formula>ISBLANK($A$58)</formula>
    </cfRule>
  </conditionalFormatting>
  <dataValidations count="3">
    <dataValidation type="list" allowBlank="1" showInputMessage="1" showErrorMessage="1" sqref="A11:A29" xr:uid="{AFD760BD-5248-4744-9CF8-E253C29187B5}">
      <formula1>$K$12:$K$25</formula1>
    </dataValidation>
    <dataValidation allowBlank="1" showInputMessage="1" showErrorMessage="1" prompt="Der TS-Gehalt kann betriebsindividuell angepasst werden._x000a_" sqref="C11:C29" xr:uid="{D67ED340-D352-464A-A49F-916DEDA259D1}"/>
    <dataValidation allowBlank="1" showErrorMessage="1" prompt="Der TS-Gehalt kann betriebsindividuell angepasst werden._x000a_" sqref="C31:C40" xr:uid="{8E088A86-2F88-46C3-9F5A-75AD976A318A}"/>
  </dataValidations>
  <pageMargins left="0.7" right="0.7" top="0.78740157499999996" bottom="0.78740157499999996" header="0.3" footer="0.3"/>
  <pageSetup paperSize="9" scale="90" orientation="landscape" r:id="rId1"/>
  <headerFooter>
    <oddHeader>&amp;R&amp;"Arial,Standard"&amp;10Förderantrag BioMeth Bayern -&amp;11 &amp;"Arial,Fett"&amp;12Anlage Einsatzstoffe</oddHeader>
    <oddFooter>&amp;C&amp;"Arial,Standard"&amp;P&amp;R&amp;"Arial,Fett"&amp;10 2.1 Vorlage 05071 Stand: 15.04.2024</oddFooter>
  </headerFooter>
  <rowBreaks count="1" manualBreakCount="1">
    <brk id="29" max="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3"/>
  <sheetViews>
    <sheetView showGridLines="0" topLeftCell="A2" zoomScaleNormal="100" workbookViewId="0">
      <selection activeCell="B16" sqref="B16"/>
    </sheetView>
  </sheetViews>
  <sheetFormatPr baseColWidth="10" defaultColWidth="3.140625" defaultRowHeight="14.25" x14ac:dyDescent="0.25"/>
  <cols>
    <col min="1" max="1" width="59.7109375" style="5" customWidth="1"/>
    <col min="2" max="2" width="24.85546875" style="5" customWidth="1"/>
    <col min="3" max="3" width="34.140625" style="5" customWidth="1"/>
    <col min="4" max="4" width="12.85546875" style="5" hidden="1" customWidth="1"/>
    <col min="5" max="7" width="3.140625" style="5"/>
    <col min="8" max="8" width="6.5703125" style="5" customWidth="1"/>
    <col min="9" max="16384" width="3.140625" style="5"/>
  </cols>
  <sheetData>
    <row r="1" spans="1:14" ht="30.75" x14ac:dyDescent="0.25">
      <c r="A1" s="352" t="s">
        <v>340</v>
      </c>
      <c r="D1" s="20" t="s">
        <v>10</v>
      </c>
    </row>
    <row r="2" spans="1:14" ht="12.95" customHeight="1" x14ac:dyDescent="0.25">
      <c r="A2" s="1"/>
    </row>
    <row r="3" spans="1:14" ht="13.5" customHeight="1" x14ac:dyDescent="0.25">
      <c r="A3" s="2" t="s">
        <v>3</v>
      </c>
    </row>
    <row r="4" spans="1:14" ht="21.2" customHeight="1" thickBot="1" x14ac:dyDescent="0.3">
      <c r="A4" s="524" cm="1">
        <f t="array" ref="A4">'Einsatzstoffe Nr. 2.1'!A5:A5</f>
        <v>0</v>
      </c>
      <c r="B4" s="524"/>
      <c r="C4" s="524"/>
    </row>
    <row r="5" spans="1:14" s="6" customFormat="1" ht="15.75" customHeight="1" x14ac:dyDescent="0.25">
      <c r="A5" s="525" t="s">
        <v>2</v>
      </c>
      <c r="B5" s="525"/>
      <c r="C5" s="525"/>
      <c r="D5" s="5"/>
      <c r="E5" s="5"/>
      <c r="F5" s="5"/>
      <c r="G5" s="5"/>
      <c r="H5" s="5"/>
      <c r="I5" s="5"/>
      <c r="J5" s="5"/>
      <c r="K5" s="5"/>
      <c r="L5" s="5"/>
      <c r="M5" s="5"/>
      <c r="N5" s="5"/>
    </row>
    <row r="6" spans="1:14" s="6" customFormat="1" ht="11.25" x14ac:dyDescent="0.25">
      <c r="A6" s="3"/>
      <c r="B6" s="3"/>
      <c r="C6" s="3"/>
      <c r="D6" s="3"/>
      <c r="E6" s="3"/>
      <c r="F6" s="3"/>
      <c r="G6" s="3"/>
      <c r="H6" s="3"/>
      <c r="I6" s="3"/>
      <c r="J6" s="3"/>
      <c r="K6" s="3"/>
      <c r="L6" s="3"/>
      <c r="M6" s="3"/>
      <c r="N6" s="3"/>
    </row>
    <row r="7" spans="1:14" s="6" customFormat="1" ht="18" x14ac:dyDescent="0.25">
      <c r="A7" s="21" t="s">
        <v>11</v>
      </c>
      <c r="B7" s="3"/>
      <c r="C7" s="3"/>
      <c r="D7" s="3"/>
      <c r="E7" s="3"/>
      <c r="F7" s="3"/>
      <c r="G7" s="3"/>
      <c r="H7" s="3"/>
      <c r="I7" s="3"/>
      <c r="J7" s="3"/>
      <c r="K7" s="3"/>
      <c r="L7" s="3"/>
      <c r="M7" s="3"/>
      <c r="N7" s="3"/>
    </row>
    <row r="8" spans="1:14" s="6" customFormat="1" ht="7.5" customHeight="1" x14ac:dyDescent="0.25">
      <c r="A8" s="21"/>
      <c r="B8" s="3"/>
      <c r="C8" s="3"/>
      <c r="D8" s="3"/>
      <c r="E8" s="3"/>
      <c r="F8" s="3"/>
      <c r="G8" s="3"/>
      <c r="H8" s="3"/>
      <c r="I8" s="3"/>
      <c r="J8" s="3"/>
      <c r="K8" s="3"/>
      <c r="L8" s="3"/>
      <c r="M8" s="3"/>
      <c r="N8" s="3"/>
    </row>
    <row r="9" spans="1:14" s="6" customFormat="1" ht="18" customHeight="1" x14ac:dyDescent="0.25">
      <c r="A9" s="529"/>
      <c r="B9" s="530"/>
      <c r="C9" s="530"/>
      <c r="D9" s="29" t="b">
        <v>1</v>
      </c>
      <c r="E9" s="3"/>
      <c r="F9" s="3"/>
      <c r="G9" s="3"/>
      <c r="H9" s="3"/>
      <c r="I9" s="3"/>
      <c r="J9" s="3"/>
      <c r="K9" s="3"/>
      <c r="L9" s="3"/>
      <c r="M9" s="3"/>
      <c r="N9" s="3"/>
    </row>
    <row r="10" spans="1:14" ht="25.5" customHeight="1" x14ac:dyDescent="0.25">
      <c r="A10" s="351"/>
      <c r="B10" s="4"/>
      <c r="C10" s="4"/>
      <c r="D10" s="4"/>
      <c r="E10" s="4"/>
      <c r="F10" s="4"/>
      <c r="G10" s="4"/>
      <c r="H10" s="4"/>
      <c r="I10" s="4"/>
      <c r="J10" s="4"/>
      <c r="K10" s="4"/>
      <c r="L10" s="4"/>
      <c r="M10" s="4"/>
      <c r="N10" s="4"/>
    </row>
    <row r="11" spans="1:14" s="23" customFormat="1" ht="22.35" customHeight="1" x14ac:dyDescent="0.25">
      <c r="A11" s="22" t="s">
        <v>12</v>
      </c>
      <c r="C11" s="24"/>
    </row>
    <row r="12" spans="1:14" ht="18" customHeight="1" x14ac:dyDescent="0.25">
      <c r="A12" s="7" t="s">
        <v>4</v>
      </c>
      <c r="B12" s="30"/>
      <c r="C12" s="8"/>
    </row>
    <row r="13" spans="1:14" ht="18" customHeight="1" x14ac:dyDescent="0.25">
      <c r="A13" s="9" t="s">
        <v>13</v>
      </c>
      <c r="B13" s="347" t="str">
        <f>IF(ISBLANK(B12),"",ROUND('Einsatzstoffe Nr. 2.1'!G52/'CO2_Minderung_2.1'!B12,0))</f>
        <v/>
      </c>
    </row>
    <row r="14" spans="1:14" ht="18" customHeight="1" x14ac:dyDescent="0.25">
      <c r="A14" s="9" t="s">
        <v>0</v>
      </c>
      <c r="B14" s="392">
        <v>9.9700000000000006</v>
      </c>
    </row>
    <row r="15" spans="1:14" ht="18" customHeight="1" x14ac:dyDescent="0.2">
      <c r="A15" s="9" t="s">
        <v>6</v>
      </c>
      <c r="B15" s="348" t="str">
        <f>'Einsatzstoffe Nr. 2.1'!F52</f>
        <v/>
      </c>
      <c r="D15" s="10"/>
    </row>
    <row r="16" spans="1:14" ht="18" customHeight="1" x14ac:dyDescent="0.2">
      <c r="A16" s="9" t="s">
        <v>312</v>
      </c>
      <c r="B16" s="329"/>
      <c r="D16" s="10"/>
    </row>
    <row r="17" spans="1:8" ht="18" customHeight="1" x14ac:dyDescent="0.2">
      <c r="A17" s="11" t="s">
        <v>14</v>
      </c>
      <c r="B17" s="12" t="str">
        <f>IF(ISBLANK(B16),"",B12*B13*B14*B15*(1-B16))</f>
        <v/>
      </c>
      <c r="D17" s="10"/>
    </row>
    <row r="18" spans="1:8" ht="18" customHeight="1" x14ac:dyDescent="0.2">
      <c r="A18" s="531" t="str">
        <f>IF(B13&lt;4380,"Mindestvollbetriebsstunden/Jahr von 4.380 nicht erreicht; Förderung nicht möglich!","")</f>
        <v/>
      </c>
      <c r="B18" s="532"/>
      <c r="D18" s="10"/>
    </row>
    <row r="19" spans="1:8" ht="7.5" customHeight="1" x14ac:dyDescent="0.2">
      <c r="A19" s="533"/>
      <c r="B19" s="533"/>
      <c r="D19" s="10"/>
    </row>
    <row r="20" spans="1:8" s="13" customFormat="1" ht="18" customHeight="1" x14ac:dyDescent="0.25">
      <c r="A20" s="14" t="s">
        <v>1</v>
      </c>
      <c r="B20" s="15">
        <v>94</v>
      </c>
      <c r="C20" s="346">
        <v>1</v>
      </c>
      <c r="D20" s="16"/>
      <c r="E20" s="16"/>
      <c r="F20" s="16"/>
      <c r="G20" s="16"/>
      <c r="H20" s="16"/>
    </row>
    <row r="21" spans="1:8" s="13" customFormat="1" ht="18" customHeight="1" x14ac:dyDescent="0.25">
      <c r="A21" s="14" t="s">
        <v>7</v>
      </c>
      <c r="B21" s="393">
        <v>0.65</v>
      </c>
      <c r="C21" s="16"/>
      <c r="D21" s="16"/>
      <c r="E21" s="16"/>
      <c r="F21" s="16"/>
      <c r="G21" s="16"/>
      <c r="H21" s="16"/>
    </row>
    <row r="22" spans="1:8" ht="18" customHeight="1" x14ac:dyDescent="0.25">
      <c r="B22" s="27">
        <f>ROUND(B20*B21,1)</f>
        <v>61.1</v>
      </c>
      <c r="C22" s="16"/>
      <c r="D22" s="16"/>
      <c r="E22" s="16"/>
      <c r="F22" s="16"/>
      <c r="G22" s="16"/>
      <c r="H22" s="16"/>
    </row>
    <row r="23" spans="1:8" ht="18" customHeight="1" thickBot="1" x14ac:dyDescent="0.3">
      <c r="B23" s="28">
        <f>ROUND(B22*3.6/1000,3)</f>
        <v>0.22</v>
      </c>
    </row>
    <row r="24" spans="1:8" ht="18" customHeight="1" thickBot="1" x14ac:dyDescent="0.3">
      <c r="A24" s="17" t="s">
        <v>8</v>
      </c>
      <c r="B24" s="18" t="e">
        <f>ROUND(B17/1000*B23,0)</f>
        <v>#VALUE!</v>
      </c>
    </row>
    <row r="25" spans="1:8" ht="18" customHeight="1" thickBot="1" x14ac:dyDescent="0.3">
      <c r="A25" s="5" t="s">
        <v>5</v>
      </c>
      <c r="B25" s="19">
        <v>6</v>
      </c>
    </row>
    <row r="26" spans="1:8" ht="18" customHeight="1" thickBot="1" x14ac:dyDescent="0.3">
      <c r="A26" s="17" t="s">
        <v>9</v>
      </c>
      <c r="B26" s="18" t="e">
        <f>B24*B25</f>
        <v>#VALUE!</v>
      </c>
    </row>
    <row r="27" spans="1:8" ht="18" x14ac:dyDescent="0.25">
      <c r="B27" s="506" t="e">
        <f>IF(AND(A9="Eine neue Biogasaufbereitungsanlage mit einer Rohgasaufbereitungskapazität ab 350 Nm³/h",B26&lt;11000),"Mindesteinsparung CO2 nicht erreicht","")</f>
        <v>#VALUE!</v>
      </c>
    </row>
    <row r="28" spans="1:8" ht="18" x14ac:dyDescent="0.25">
      <c r="B28" s="506" t="e">
        <f>IF(AND(A9="Eine neue Biogasaufbereitungsanlage mit einer Rohgasaufbereitungskapazität ab 700 Nm³/h",B26&lt;22000),"Mindesteinsparung CO2 nicht erreicht","")</f>
        <v>#VALUE!</v>
      </c>
    </row>
    <row r="30" spans="1:8" s="25" customFormat="1" x14ac:dyDescent="0.25">
      <c r="A30" s="522"/>
    </row>
    <row r="31" spans="1:8" s="25" customFormat="1" x14ac:dyDescent="0.25">
      <c r="A31" s="523"/>
      <c r="B31" s="349"/>
      <c r="C31" s="349"/>
    </row>
    <row r="32" spans="1:8" s="25" customFormat="1" x14ac:dyDescent="0.2">
      <c r="A32" s="26" t="s">
        <v>15</v>
      </c>
      <c r="B32" s="460" t="s">
        <v>374</v>
      </c>
      <c r="C32" s="461"/>
    </row>
    <row r="33" spans="1:3" s="25" customFormat="1" x14ac:dyDescent="0.25"/>
    <row r="34" spans="1:3" s="25" customFormat="1" ht="15" thickBot="1" x14ac:dyDescent="0.3"/>
    <row r="35" spans="1:3" s="25" customFormat="1" ht="58.5" customHeight="1" thickBot="1" x14ac:dyDescent="0.3">
      <c r="A35" s="526" t="s">
        <v>339</v>
      </c>
      <c r="B35" s="527"/>
      <c r="C35" s="528"/>
    </row>
    <row r="36" spans="1:3" s="25" customFormat="1" x14ac:dyDescent="0.25"/>
    <row r="37" spans="1:3" s="25" customFormat="1" x14ac:dyDescent="0.25"/>
    <row r="38" spans="1:3" s="25" customFormat="1" x14ac:dyDescent="0.25"/>
    <row r="39" spans="1:3" s="25" customFormat="1" x14ac:dyDescent="0.25">
      <c r="A39" s="522"/>
    </row>
    <row r="40" spans="1:3" s="25" customFormat="1" x14ac:dyDescent="0.25">
      <c r="A40" s="523"/>
      <c r="B40" s="349"/>
      <c r="C40" s="349"/>
    </row>
    <row r="41" spans="1:3" s="25" customFormat="1" x14ac:dyDescent="0.2">
      <c r="A41" s="26" t="s">
        <v>15</v>
      </c>
      <c r="B41" s="350" t="s">
        <v>16</v>
      </c>
    </row>
    <row r="43" spans="1:3" x14ac:dyDescent="0.25">
      <c r="A43" s="462" t="s">
        <v>373</v>
      </c>
    </row>
  </sheetData>
  <sheetProtection algorithmName="SHA-512" hashValue="vAZMFJxD0c6siBKoEd+dz/SX22V/LhE7XJ7W31gn+LhRz1Mlb86zrNu2D/CMUjV8KMdONE1KDx4p+mEqqZl0Jg==" saltValue="Qcha/Eb4UJEFtyiWK7KZYw==" spinCount="100000" sheet="1" objects="1" scenarios="1"/>
  <mergeCells count="7">
    <mergeCell ref="A39:A40"/>
    <mergeCell ref="A4:C4"/>
    <mergeCell ref="A5:C5"/>
    <mergeCell ref="A30:A31"/>
    <mergeCell ref="A35:C35"/>
    <mergeCell ref="A9:C9"/>
    <mergeCell ref="A18:B19"/>
  </mergeCells>
  <conditionalFormatting sqref="A4">
    <cfRule type="expression" dxfId="62" priority="12">
      <formula>ISBLANK($A$4)</formula>
    </cfRule>
  </conditionalFormatting>
  <conditionalFormatting sqref="B12">
    <cfRule type="expression" dxfId="61" priority="4">
      <formula>ISBLANK($B$12)</formula>
    </cfRule>
    <cfRule type="expression" dxfId="60" priority="11">
      <formula>ISBLANK($B$12)</formula>
    </cfRule>
  </conditionalFormatting>
  <conditionalFormatting sqref="B13">
    <cfRule type="expression" dxfId="59" priority="10">
      <formula>ISBLANK($B$13)</formula>
    </cfRule>
  </conditionalFormatting>
  <conditionalFormatting sqref="B15:B16">
    <cfRule type="expression" dxfId="58" priority="9">
      <formula>ISBLANK($B$15)</formula>
    </cfRule>
  </conditionalFormatting>
  <conditionalFormatting sqref="A30:A31">
    <cfRule type="expression" dxfId="57" priority="8">
      <formula>ISBLANK($A$30)</formula>
    </cfRule>
  </conditionalFormatting>
  <conditionalFormatting sqref="A39:A40">
    <cfRule type="expression" dxfId="56" priority="7">
      <formula>ISBLANK($A$39)</formula>
    </cfRule>
  </conditionalFormatting>
  <conditionalFormatting sqref="B16">
    <cfRule type="expression" dxfId="55" priority="3">
      <formula>ISBLANK($B$16)</formula>
    </cfRule>
    <cfRule type="expression" dxfId="54" priority="5">
      <formula>ISBLANK($B$16)</formula>
    </cfRule>
  </conditionalFormatting>
  <conditionalFormatting sqref="A9:C9">
    <cfRule type="expression" dxfId="53" priority="1">
      <formula>ISBLANK($A$9)</formula>
    </cfRule>
  </conditionalFormatting>
  <pageMargins left="0.78740157480314965" right="0.59055118110236227" top="0.74803149606299213" bottom="0.74803149606299213" header="0.31496062992125984" footer="0.31496062992125984"/>
  <pageSetup paperSize="9" scale="73" orientation="portrait" r:id="rId1"/>
  <headerFooter>
    <oddHeader>&amp;R&amp;"Arial,Standard"&amp;10Förderantrag BioMeth Bayern -&amp;"Arial,Fett"&amp;12 Anlage CO&amp;Y2&amp;Y-Minderung</oddHeader>
    <oddFooter>&amp;C&amp;"Arial,Standard"&amp;9&amp;P&amp;R&amp;"Arial,Fett"&amp;10 2.1 Vorlage 05071 Stand: 15.04.2024</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3B7DAC8-40B0-4034-B20E-B05FF8563C36}">
          <x14:formula1>
            <xm:f>Fördergrenzen!$F$4:$F$6</xm:f>
          </x14:formula1>
          <xm:sqref>A9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DE1DF-A7AD-4CFE-971D-0C57130AB659}">
  <sheetPr>
    <tabColor theme="6" tint="-0.249977111117893"/>
    <pageSetUpPr fitToPage="1"/>
  </sheetPr>
  <dimension ref="A1:K64"/>
  <sheetViews>
    <sheetView showGridLines="0" zoomScaleNormal="100" zoomScaleSheetLayoutView="100" workbookViewId="0">
      <selection activeCell="B15" sqref="B15:C15"/>
    </sheetView>
  </sheetViews>
  <sheetFormatPr baseColWidth="10" defaultRowHeight="15" customHeight="1" x14ac:dyDescent="0.25"/>
  <cols>
    <col min="1" max="1" width="69.85546875" customWidth="1"/>
    <col min="2" max="2" width="10.7109375" customWidth="1"/>
    <col min="3" max="3" width="43.7109375" customWidth="1"/>
    <col min="4" max="4" width="19" customWidth="1"/>
    <col min="5" max="5" width="17.85546875" customWidth="1"/>
    <col min="6" max="6" width="15.28515625" customWidth="1"/>
    <col min="7" max="7" width="18.7109375" hidden="1" customWidth="1"/>
    <col min="8" max="8" width="11.42578125" hidden="1" customWidth="1"/>
    <col min="9" max="11" width="11.42578125" customWidth="1"/>
  </cols>
  <sheetData>
    <row r="1" spans="1:11" s="33" customFormat="1" ht="21" customHeight="1" x14ac:dyDescent="0.2">
      <c r="A1" s="563" t="s">
        <v>84</v>
      </c>
      <c r="B1" s="563"/>
      <c r="C1" s="563"/>
      <c r="D1" s="32"/>
      <c r="E1" s="32"/>
      <c r="I1" s="34"/>
    </row>
    <row r="2" spans="1:11" s="33" customFormat="1" ht="6.75" customHeight="1" x14ac:dyDescent="0.25">
      <c r="A2" s="35"/>
      <c r="B2" s="35"/>
      <c r="C2" s="35"/>
      <c r="D2" s="35"/>
      <c r="E2" s="35"/>
      <c r="I2" s="34"/>
    </row>
    <row r="3" spans="1:11" s="33" customFormat="1" ht="12.75" x14ac:dyDescent="0.2">
      <c r="A3" s="36" t="s">
        <v>75</v>
      </c>
      <c r="B3" s="37"/>
      <c r="D3" s="37"/>
      <c r="I3" s="34"/>
    </row>
    <row r="4" spans="1:11" s="33" customFormat="1" ht="6.75" customHeight="1" x14ac:dyDescent="0.25">
      <c r="A4" s="38"/>
      <c r="B4" s="38"/>
      <c r="D4" s="38"/>
      <c r="I4" s="34"/>
      <c r="K4" s="39"/>
    </row>
    <row r="5" spans="1:11" s="37" customFormat="1" ht="21.75" customHeight="1" thickBot="1" x14ac:dyDescent="0.3">
      <c r="A5" s="564" cm="1">
        <f t="array" ref="A5">'Einsatzstoffe Nr. 2.1'!A5:A5</f>
        <v>0</v>
      </c>
      <c r="B5" s="564"/>
      <c r="C5" s="564"/>
      <c r="D5" s="40"/>
      <c r="E5" s="40"/>
      <c r="I5" s="41"/>
    </row>
    <row r="6" spans="1:11" s="33" customFormat="1" ht="12.75" customHeight="1" x14ac:dyDescent="0.2">
      <c r="A6" s="42" t="s">
        <v>378</v>
      </c>
      <c r="B6" s="42"/>
      <c r="C6" s="42"/>
      <c r="D6" s="37"/>
      <c r="E6" s="37"/>
      <c r="I6" s="34"/>
    </row>
    <row r="7" spans="1:11" s="37" customFormat="1" ht="9" customHeight="1" x14ac:dyDescent="0.2">
      <c r="A7" s="39"/>
      <c r="B7" s="39"/>
      <c r="C7" s="39"/>
      <c r="D7" s="39"/>
      <c r="E7" s="33"/>
      <c r="F7" s="41"/>
      <c r="I7" s="41"/>
    </row>
    <row r="8" spans="1:11" s="33" customFormat="1" ht="6.75" hidden="1" customHeight="1" x14ac:dyDescent="0.25">
      <c r="A8" s="38"/>
      <c r="B8" s="38"/>
      <c r="D8" s="38"/>
      <c r="I8" s="34"/>
      <c r="K8" s="39"/>
    </row>
    <row r="9" spans="1:11" s="33" customFormat="1" ht="34.15" customHeight="1" x14ac:dyDescent="0.2">
      <c r="A9" s="565" t="s">
        <v>85</v>
      </c>
      <c r="B9" s="566"/>
      <c r="C9" s="567"/>
      <c r="D9" s="545" t="s">
        <v>165</v>
      </c>
      <c r="E9" s="548" t="s">
        <v>355</v>
      </c>
      <c r="G9" s="534" t="s">
        <v>86</v>
      </c>
      <c r="H9" s="534"/>
      <c r="I9" s="34"/>
    </row>
    <row r="10" spans="1:11" s="33" customFormat="1" ht="27.75" customHeight="1" x14ac:dyDescent="0.2">
      <c r="A10" s="43" t="s">
        <v>349</v>
      </c>
      <c r="B10" s="543">
        <f>'CO2_Minderung_2.1'!A9</f>
        <v>0</v>
      </c>
      <c r="C10" s="544"/>
      <c r="D10" s="546"/>
      <c r="E10" s="549"/>
      <c r="G10" s="44" cm="1">
        <f t="array" ref="G10">_xlfn.IFS(B10="Eine neue Biogasaufbereitungsanlage mit einer Rohgasaufbereitungskapazität ab 350 Nm³/h",500000,B10="Eine neue Biogasaufbereitungsanlage mit einer Rohgasaufbereitungskapazität ab 700 Nm³/h",800000,B10="Eine Umrüstung einer bestehenden Biogasanlage zu einer neuen Biogasaufbereitungsanlage",700000,TRUE,0)</f>
        <v>0</v>
      </c>
      <c r="H10" s="44"/>
      <c r="I10" s="34"/>
    </row>
    <row r="11" spans="1:11" s="33" customFormat="1" ht="17.100000000000001" customHeight="1" x14ac:dyDescent="0.2">
      <c r="A11" s="45" t="s">
        <v>87</v>
      </c>
      <c r="B11" s="344">
        <f>'CO2_Minderung_2.1'!B12</f>
        <v>0</v>
      </c>
      <c r="C11" s="46" t="s">
        <v>88</v>
      </c>
      <c r="D11" s="546"/>
      <c r="E11" s="549"/>
      <c r="G11" s="534"/>
      <c r="H11" s="534"/>
      <c r="I11" s="34"/>
    </row>
    <row r="12" spans="1:11" s="33" customFormat="1" ht="17.100000000000001" customHeight="1" x14ac:dyDescent="0.2">
      <c r="A12" s="45"/>
      <c r="B12" s="344"/>
      <c r="C12" s="46"/>
      <c r="D12" s="547"/>
      <c r="E12" s="550"/>
      <c r="G12" s="365"/>
      <c r="H12" s="365"/>
      <c r="I12" s="34"/>
    </row>
    <row r="13" spans="1:11" s="33" customFormat="1" ht="24" customHeight="1" x14ac:dyDescent="0.2">
      <c r="A13" s="47" t="s">
        <v>89</v>
      </c>
      <c r="B13" s="571"/>
      <c r="C13" s="572"/>
      <c r="D13" s="467"/>
      <c r="E13" s="468"/>
      <c r="G13" s="34"/>
      <c r="I13" s="34"/>
    </row>
    <row r="14" spans="1:11" s="37" customFormat="1" ht="32.1" customHeight="1" x14ac:dyDescent="0.25">
      <c r="A14" s="48" t="s">
        <v>90</v>
      </c>
      <c r="B14" s="535"/>
      <c r="C14" s="536"/>
      <c r="D14" s="469">
        <v>15</v>
      </c>
      <c r="E14" s="470">
        <v>0.04</v>
      </c>
      <c r="I14" s="41"/>
    </row>
    <row r="15" spans="1:11" s="37" customFormat="1" ht="26.1" customHeight="1" x14ac:dyDescent="0.25">
      <c r="A15" s="50" t="s">
        <v>323</v>
      </c>
      <c r="B15" s="535"/>
      <c r="C15" s="536"/>
      <c r="D15" s="471">
        <v>9</v>
      </c>
      <c r="E15" s="472">
        <v>0.04</v>
      </c>
      <c r="I15" s="41"/>
    </row>
    <row r="16" spans="1:11" s="37" customFormat="1" ht="26.1" customHeight="1" x14ac:dyDescent="0.25">
      <c r="A16" s="50" t="s">
        <v>322</v>
      </c>
      <c r="B16" s="535"/>
      <c r="C16" s="536"/>
      <c r="D16" s="471">
        <v>10</v>
      </c>
      <c r="E16" s="472">
        <v>0.04</v>
      </c>
      <c r="I16" s="41"/>
    </row>
    <row r="17" spans="1:9" s="37" customFormat="1" ht="26.1" customHeight="1" x14ac:dyDescent="0.25">
      <c r="A17" s="50" t="s">
        <v>324</v>
      </c>
      <c r="B17" s="535"/>
      <c r="C17" s="536"/>
      <c r="D17" s="471">
        <v>10</v>
      </c>
      <c r="E17" s="472">
        <v>0.04</v>
      </c>
      <c r="I17" s="41"/>
    </row>
    <row r="18" spans="1:9" s="37" customFormat="1" ht="26.1" customHeight="1" x14ac:dyDescent="0.25">
      <c r="A18" s="51" t="s">
        <v>325</v>
      </c>
      <c r="B18" s="535"/>
      <c r="C18" s="536"/>
      <c r="D18" s="465">
        <v>10</v>
      </c>
      <c r="E18" s="466">
        <v>0.04</v>
      </c>
      <c r="I18" s="41"/>
    </row>
    <row r="19" spans="1:9" s="33" customFormat="1" ht="22.15" customHeight="1" x14ac:dyDescent="0.2">
      <c r="A19" s="47" t="s">
        <v>91</v>
      </c>
      <c r="B19" s="561">
        <f>SUM(B14:C18)</f>
        <v>0</v>
      </c>
      <c r="C19" s="562"/>
      <c r="D19" s="473"/>
      <c r="E19" s="475"/>
      <c r="I19" s="34"/>
    </row>
    <row r="20" spans="1:9" s="33" customFormat="1" ht="6.75" customHeight="1" x14ac:dyDescent="0.2">
      <c r="A20" s="52"/>
      <c r="B20" s="53"/>
      <c r="C20" s="54"/>
      <c r="D20" s="474"/>
      <c r="E20" s="476"/>
      <c r="I20" s="34"/>
    </row>
    <row r="21" spans="1:9" s="33" customFormat="1" ht="6.75" hidden="1" customHeight="1" x14ac:dyDescent="0.2">
      <c r="A21" s="52"/>
      <c r="B21" s="53"/>
      <c r="C21" s="54"/>
      <c r="D21" s="474"/>
      <c r="E21" s="476"/>
      <c r="I21" s="34"/>
    </row>
    <row r="22" spans="1:9" s="33" customFormat="1" ht="17.100000000000001" customHeight="1" x14ac:dyDescent="0.2">
      <c r="A22" s="537" t="s">
        <v>350</v>
      </c>
      <c r="B22" s="539"/>
      <c r="C22" s="540"/>
      <c r="D22" s="473"/>
      <c r="E22" s="476"/>
      <c r="I22" s="34"/>
    </row>
    <row r="23" spans="1:9" s="37" customFormat="1" ht="10.5" customHeight="1" x14ac:dyDescent="0.25">
      <c r="A23" s="538"/>
      <c r="B23" s="541"/>
      <c r="C23" s="542"/>
      <c r="D23" s="478"/>
      <c r="E23" s="477"/>
      <c r="I23" s="41"/>
    </row>
    <row r="24" spans="1:9" s="37" customFormat="1" ht="18" customHeight="1" x14ac:dyDescent="0.25">
      <c r="A24" s="48" t="s">
        <v>319</v>
      </c>
      <c r="B24" s="535"/>
      <c r="C24" s="536"/>
      <c r="D24" s="479">
        <v>10</v>
      </c>
      <c r="E24" s="482">
        <v>0.01</v>
      </c>
      <c r="I24" s="41"/>
    </row>
    <row r="25" spans="1:9" s="37" customFormat="1" ht="18" customHeight="1" x14ac:dyDescent="0.25">
      <c r="A25" s="48" t="s">
        <v>321</v>
      </c>
      <c r="B25" s="535"/>
      <c r="C25" s="536"/>
      <c r="D25" s="480">
        <v>30</v>
      </c>
      <c r="E25" s="472">
        <v>0.01</v>
      </c>
      <c r="I25" s="41"/>
    </row>
    <row r="26" spans="1:9" s="37" customFormat="1" ht="20.25" customHeight="1" x14ac:dyDescent="0.25">
      <c r="A26" s="48" t="s">
        <v>351</v>
      </c>
      <c r="B26" s="535"/>
      <c r="C26" s="536"/>
      <c r="D26" s="481">
        <v>30</v>
      </c>
      <c r="E26" s="483">
        <v>0.01</v>
      </c>
      <c r="I26" s="41"/>
    </row>
    <row r="27" spans="1:9" s="33" customFormat="1" ht="22.15" customHeight="1" x14ac:dyDescent="0.2">
      <c r="A27" s="56" t="s">
        <v>320</v>
      </c>
      <c r="B27" s="555">
        <f>SUM(B24:C26)</f>
        <v>0</v>
      </c>
      <c r="C27" s="556"/>
      <c r="D27" s="484"/>
      <c r="E27" s="487"/>
      <c r="I27" s="34"/>
    </row>
    <row r="28" spans="1:9" s="33" customFormat="1" ht="6.75" customHeight="1" x14ac:dyDescent="0.25">
      <c r="A28" s="52"/>
      <c r="B28" s="53"/>
      <c r="C28" s="57"/>
      <c r="D28" s="485"/>
      <c r="E28" s="488"/>
      <c r="I28" s="34"/>
    </row>
    <row r="29" spans="1:9" s="33" customFormat="1" ht="17.100000000000001" customHeight="1" x14ac:dyDescent="0.2">
      <c r="A29" s="55" t="s">
        <v>92</v>
      </c>
      <c r="B29" s="571"/>
      <c r="C29" s="572"/>
      <c r="D29" s="486"/>
      <c r="E29" s="489"/>
      <c r="I29" s="34"/>
    </row>
    <row r="30" spans="1:9" s="37" customFormat="1" ht="26.1" customHeight="1" x14ac:dyDescent="0.25">
      <c r="A30" s="58" t="s">
        <v>93</v>
      </c>
      <c r="B30" s="557"/>
      <c r="C30" s="558"/>
      <c r="D30" s="463">
        <v>20</v>
      </c>
      <c r="E30" s="491"/>
      <c r="I30" s="41"/>
    </row>
    <row r="31" spans="1:9" s="33" customFormat="1" ht="22.15" customHeight="1" x14ac:dyDescent="0.25">
      <c r="A31" s="59" t="s">
        <v>359</v>
      </c>
      <c r="B31" s="559">
        <f>MIN(SUM(B30:C30),(0.1*(B19+B27)))</f>
        <v>0</v>
      </c>
      <c r="C31" s="560"/>
      <c r="D31" s="467"/>
      <c r="E31" s="468"/>
      <c r="I31" s="34"/>
    </row>
    <row r="32" spans="1:9" s="33" customFormat="1" ht="6.75" customHeight="1" x14ac:dyDescent="0.25">
      <c r="A32" s="60"/>
      <c r="B32" s="61"/>
      <c r="C32" s="62"/>
      <c r="D32" s="496"/>
      <c r="E32" s="488"/>
      <c r="I32" s="34"/>
    </row>
    <row r="33" spans="1:9" s="33" customFormat="1" ht="25.5" customHeight="1" thickBot="1" x14ac:dyDescent="0.25">
      <c r="A33" s="63" t="s">
        <v>377</v>
      </c>
      <c r="B33" s="553">
        <f>B19+B27+B31</f>
        <v>0</v>
      </c>
      <c r="C33" s="554"/>
      <c r="D33" s="497"/>
      <c r="E33" s="492"/>
      <c r="F33" s="64"/>
      <c r="I33" s="34"/>
    </row>
    <row r="34" spans="1:9" s="33" customFormat="1" ht="6.75" customHeight="1" x14ac:dyDescent="0.25">
      <c r="A34" s="52"/>
      <c r="B34" s="53"/>
      <c r="C34" s="62"/>
      <c r="D34" s="485"/>
      <c r="E34" s="488"/>
      <c r="I34" s="34"/>
    </row>
    <row r="35" spans="1:9" s="354" customFormat="1" ht="21" hidden="1" customHeight="1" x14ac:dyDescent="0.2">
      <c r="A35" s="353"/>
      <c r="B35" s="353"/>
      <c r="C35" s="353"/>
      <c r="D35" s="498"/>
      <c r="E35" s="493"/>
      <c r="I35" s="355"/>
    </row>
    <row r="36" spans="1:9" s="33" customFormat="1" ht="17.100000000000001" customHeight="1" x14ac:dyDescent="0.2">
      <c r="A36" s="376" t="s">
        <v>94</v>
      </c>
      <c r="B36" s="568"/>
      <c r="C36" s="569"/>
      <c r="D36" s="499"/>
      <c r="E36" s="494"/>
      <c r="I36" s="34"/>
    </row>
    <row r="37" spans="1:9" s="33" customFormat="1" ht="26.1" customHeight="1" x14ac:dyDescent="0.2">
      <c r="A37" s="377" t="s">
        <v>356</v>
      </c>
      <c r="B37" s="535"/>
      <c r="C37" s="570"/>
      <c r="D37" s="500"/>
      <c r="E37" s="495"/>
      <c r="I37" s="34"/>
    </row>
    <row r="38" spans="1:9" s="33" customFormat="1" ht="26.1" customHeight="1" x14ac:dyDescent="0.2">
      <c r="A38" s="377" t="s">
        <v>357</v>
      </c>
      <c r="B38" s="535"/>
      <c r="C38" s="570"/>
      <c r="D38" s="501"/>
      <c r="E38" s="490"/>
      <c r="I38" s="34"/>
    </row>
    <row r="39" spans="1:9" s="33" customFormat="1" ht="38.25" x14ac:dyDescent="0.2">
      <c r="A39" s="65" t="s">
        <v>358</v>
      </c>
      <c r="B39" s="535"/>
      <c r="C39" s="536"/>
      <c r="D39" s="463">
        <v>30</v>
      </c>
      <c r="E39" s="464">
        <v>0.01</v>
      </c>
      <c r="I39" s="34"/>
    </row>
    <row r="40" spans="1:9" s="33" customFormat="1" ht="25.5" customHeight="1" x14ac:dyDescent="0.2">
      <c r="A40" s="66" t="s">
        <v>95</v>
      </c>
      <c r="B40" s="561">
        <f>SUM(B37:C39)</f>
        <v>0</v>
      </c>
      <c r="C40" s="562"/>
      <c r="D40" s="368"/>
      <c r="E40" s="369"/>
      <c r="I40" s="34"/>
    </row>
    <row r="41" spans="1:9" s="33" customFormat="1" ht="5.25" customHeight="1" x14ac:dyDescent="0.2">
      <c r="A41" s="39"/>
      <c r="B41" s="39"/>
      <c r="C41" s="67"/>
      <c r="D41" s="39"/>
      <c r="I41" s="34"/>
    </row>
    <row r="42" spans="1:9" s="33" customFormat="1" ht="31.15" customHeight="1" thickBot="1" x14ac:dyDescent="0.3">
      <c r="A42" s="68" t="s">
        <v>379</v>
      </c>
      <c r="B42" s="68"/>
      <c r="C42" s="69">
        <f>B33+B40</f>
        <v>0</v>
      </c>
      <c r="D42" s="70"/>
      <c r="E42" s="49"/>
      <c r="I42" s="34"/>
    </row>
    <row r="43" spans="1:9" s="33" customFormat="1" ht="4.5" customHeight="1" thickTop="1" x14ac:dyDescent="0.2">
      <c r="I43" s="34"/>
    </row>
    <row r="44" spans="1:9" s="33" customFormat="1" ht="37.5" customHeight="1" thickBot="1" x14ac:dyDescent="0.3">
      <c r="A44" s="71" t="s">
        <v>376</v>
      </c>
      <c r="C44" s="72">
        <f>B33</f>
        <v>0</v>
      </c>
      <c r="E44" s="73"/>
      <c r="I44" s="34"/>
    </row>
    <row r="45" spans="1:9" s="33" customFormat="1" ht="7.15" customHeight="1" thickTop="1" x14ac:dyDescent="0.2">
      <c r="I45" s="34"/>
    </row>
    <row r="46" spans="1:9" s="74" customFormat="1" ht="16.149999999999999" customHeight="1" x14ac:dyDescent="0.2">
      <c r="A46" s="74" t="s">
        <v>96</v>
      </c>
      <c r="C46" s="75"/>
      <c r="D46" s="76"/>
      <c r="I46" s="77"/>
    </row>
    <row r="47" spans="1:9" s="33" customFormat="1" ht="7.15" customHeight="1" x14ac:dyDescent="0.2">
      <c r="I47" s="34"/>
    </row>
    <row r="48" spans="1:9" s="33" customFormat="1" ht="6" customHeight="1" x14ac:dyDescent="0.25">
      <c r="A48" s="78"/>
      <c r="C48" s="79"/>
      <c r="D48" s="80"/>
      <c r="E48" s="80"/>
      <c r="I48" s="34"/>
    </row>
    <row r="49" spans="1:9" s="33" customFormat="1" ht="17.100000000000001" customHeight="1" thickBot="1" x14ac:dyDescent="0.3">
      <c r="A49" s="71" t="s">
        <v>375</v>
      </c>
      <c r="C49" s="81">
        <f>IF((C44*C46)&gt;G10,G10,(C44*C46))</f>
        <v>0</v>
      </c>
      <c r="E49" s="82" t="str">
        <f>IF(C49=350000,"Förderobergrenze max. 350.000 €","")</f>
        <v/>
      </c>
      <c r="I49" s="34"/>
    </row>
    <row r="50" spans="1:9" s="33" customFormat="1" ht="15.75" thickTop="1" x14ac:dyDescent="0.25">
      <c r="A50" s="83" t="s">
        <v>97</v>
      </c>
      <c r="C50" s="84" t="str" cm="1">
        <f t="array" ref="C50">_xlfn.IFS((C49)&lt;50000,"Bagatellgrenze nicht erreicht - eine Förderung ist nicht möglich!",(C44*C46)&gt;G10,"Förderhöchstgrenze erreicht",TRUE,"")</f>
        <v>Bagatellgrenze nicht erreicht - eine Förderung ist nicht möglich!</v>
      </c>
      <c r="I50" s="34"/>
    </row>
    <row r="51" spans="1:9" s="33" customFormat="1" ht="9" customHeight="1" x14ac:dyDescent="0.2">
      <c r="I51" s="34"/>
    </row>
    <row r="52" spans="1:9" s="33" customFormat="1" ht="12.75" x14ac:dyDescent="0.2">
      <c r="I52" s="34"/>
    </row>
    <row r="53" spans="1:9" s="33" customFormat="1" ht="9" customHeight="1" x14ac:dyDescent="0.2">
      <c r="I53" s="34"/>
    </row>
    <row r="54" spans="1:9" s="33" customFormat="1" ht="12.75" customHeight="1" x14ac:dyDescent="0.2">
      <c r="A54" s="551"/>
      <c r="I54" s="34"/>
    </row>
    <row r="55" spans="1:9" s="33" customFormat="1" ht="12.75" customHeight="1" x14ac:dyDescent="0.2">
      <c r="A55" s="551"/>
      <c r="I55" s="34"/>
    </row>
    <row r="56" spans="1:9" s="33" customFormat="1" ht="12.75" customHeight="1" x14ac:dyDescent="0.2">
      <c r="A56" s="552"/>
      <c r="C56" s="85"/>
      <c r="D56" s="85"/>
      <c r="E56" s="85"/>
      <c r="I56" s="34"/>
    </row>
    <row r="57" spans="1:9" s="33" customFormat="1" ht="12.75" x14ac:dyDescent="0.2">
      <c r="A57" s="86" t="s">
        <v>15</v>
      </c>
      <c r="B57" s="87"/>
      <c r="C57" s="86" t="s">
        <v>98</v>
      </c>
      <c r="D57" s="87"/>
      <c r="I57" s="34"/>
    </row>
    <row r="58" spans="1:9" s="33" customFormat="1" ht="12.75" x14ac:dyDescent="0.2">
      <c r="A58" s="86"/>
      <c r="B58" s="87"/>
      <c r="C58" s="86"/>
      <c r="D58" s="87"/>
      <c r="I58" s="34"/>
    </row>
    <row r="59" spans="1:9" s="33" customFormat="1" ht="12.75" x14ac:dyDescent="0.2">
      <c r="A59" s="86"/>
      <c r="B59" s="87"/>
      <c r="C59" s="86"/>
      <c r="D59" s="87"/>
      <c r="I59" s="34"/>
    </row>
    <row r="60" spans="1:9" s="33" customFormat="1" ht="12.75" x14ac:dyDescent="0.2">
      <c r="I60" s="34"/>
    </row>
    <row r="61" spans="1:9" s="33" customFormat="1" ht="12.75" x14ac:dyDescent="0.2">
      <c r="A61" s="551"/>
      <c r="I61" s="34"/>
    </row>
    <row r="62" spans="1:9" s="33" customFormat="1" ht="12.75" x14ac:dyDescent="0.2">
      <c r="A62" s="551"/>
      <c r="I62" s="34"/>
    </row>
    <row r="63" spans="1:9" s="33" customFormat="1" ht="12.75" customHeight="1" x14ac:dyDescent="0.2">
      <c r="A63" s="552"/>
      <c r="C63" s="85"/>
      <c r="D63" s="85"/>
      <c r="E63" s="85"/>
      <c r="I63" s="34"/>
    </row>
    <row r="64" spans="1:9" s="33" customFormat="1" ht="12.75" x14ac:dyDescent="0.2">
      <c r="A64" s="86" t="s">
        <v>15</v>
      </c>
      <c r="B64" s="87"/>
      <c r="C64" s="86" t="s">
        <v>16</v>
      </c>
      <c r="D64" s="87"/>
      <c r="I64" s="34"/>
    </row>
  </sheetData>
  <sheetProtection algorithmName="SHA-512" hashValue="pVF9ZkaZV94chfNScmxPqm/K8chDfqkwqkVDyRF5DCHmpaRVSuw266gsx6q1MrQV+gOK/LgQCBSq5AqaOvvBFw==" saltValue="Gnvm24Z5dZXEIQXOJp708g==" spinCount="100000" sheet="1" objects="1" scenarios="1"/>
  <mergeCells count="32">
    <mergeCell ref="A61:A63"/>
    <mergeCell ref="B40:C40"/>
    <mergeCell ref="A1:C1"/>
    <mergeCell ref="A5:C5"/>
    <mergeCell ref="A9:C9"/>
    <mergeCell ref="B16:C16"/>
    <mergeCell ref="B17:C17"/>
    <mergeCell ref="B36:C36"/>
    <mergeCell ref="B37:C37"/>
    <mergeCell ref="B38:C38"/>
    <mergeCell ref="B39:C39"/>
    <mergeCell ref="B18:C18"/>
    <mergeCell ref="B19:C19"/>
    <mergeCell ref="B15:C15"/>
    <mergeCell ref="B13:C13"/>
    <mergeCell ref="B29:C29"/>
    <mergeCell ref="A54:A56"/>
    <mergeCell ref="B24:C24"/>
    <mergeCell ref="B25:C25"/>
    <mergeCell ref="B33:C33"/>
    <mergeCell ref="B27:C27"/>
    <mergeCell ref="B30:C30"/>
    <mergeCell ref="B26:C26"/>
    <mergeCell ref="B31:C31"/>
    <mergeCell ref="G9:H9"/>
    <mergeCell ref="G11:H11"/>
    <mergeCell ref="B14:C14"/>
    <mergeCell ref="A22:A23"/>
    <mergeCell ref="B22:C23"/>
    <mergeCell ref="B10:C10"/>
    <mergeCell ref="D9:D12"/>
    <mergeCell ref="E9:E12"/>
  </mergeCells>
  <conditionalFormatting sqref="B11:B12">
    <cfRule type="expression" dxfId="52" priority="16">
      <formula>ISBLANK($B$11)</formula>
    </cfRule>
    <cfRule type="expression" dxfId="51" priority="21">
      <formula>ISBLANK($B$11)</formula>
    </cfRule>
  </conditionalFormatting>
  <conditionalFormatting sqref="C46">
    <cfRule type="expression" dxfId="50" priority="15">
      <formula>ISBLANK($C$46)</formula>
    </cfRule>
    <cfRule type="expression" dxfId="49" priority="20" stopIfTrue="1">
      <formula>ISBLANK($C$46)</formula>
    </cfRule>
  </conditionalFormatting>
  <conditionalFormatting sqref="A5">
    <cfRule type="expression" dxfId="48" priority="19">
      <formula>ISBLANK($A$5)</formula>
    </cfRule>
  </conditionalFormatting>
  <conditionalFormatting sqref="C49">
    <cfRule type="cellIs" dxfId="47" priority="18" operator="lessThan">
      <formula>5000</formula>
    </cfRule>
  </conditionalFormatting>
  <conditionalFormatting sqref="B10">
    <cfRule type="expression" dxfId="46" priority="17" stopIfTrue="1">
      <formula>ISBLANK($B$10)</formula>
    </cfRule>
  </conditionalFormatting>
  <conditionalFormatting sqref="A54:A56">
    <cfRule type="expression" dxfId="45" priority="14">
      <formula>ISBLANK($A$54)</formula>
    </cfRule>
  </conditionalFormatting>
  <conditionalFormatting sqref="A61:A63">
    <cfRule type="expression" dxfId="44" priority="13">
      <formula>ISBLANK($A$61)</formula>
    </cfRule>
  </conditionalFormatting>
  <conditionalFormatting sqref="B14:C14">
    <cfRule type="expression" dxfId="43" priority="12">
      <formula>ISBLANK(B14)</formula>
    </cfRule>
  </conditionalFormatting>
  <conditionalFormatting sqref="B15:C15">
    <cfRule type="expression" dxfId="42" priority="11">
      <formula>ISBLANK(B15)</formula>
    </cfRule>
  </conditionalFormatting>
  <conditionalFormatting sqref="B16:C16">
    <cfRule type="expression" dxfId="41" priority="10">
      <formula>ISBLANK(B16)</formula>
    </cfRule>
  </conditionalFormatting>
  <conditionalFormatting sqref="B17:C17">
    <cfRule type="expression" dxfId="40" priority="9">
      <formula>ISBLANK(B17)</formula>
    </cfRule>
  </conditionalFormatting>
  <conditionalFormatting sqref="B18:C18">
    <cfRule type="expression" dxfId="39" priority="8">
      <formula>ISBLANK(B18)</formula>
    </cfRule>
  </conditionalFormatting>
  <conditionalFormatting sqref="B24:C24">
    <cfRule type="expression" dxfId="38" priority="7">
      <formula>ISBLANK(B24)</formula>
    </cfRule>
  </conditionalFormatting>
  <conditionalFormatting sqref="B25:C25">
    <cfRule type="expression" dxfId="37" priority="6">
      <formula>ISBLANK(B25)</formula>
    </cfRule>
  </conditionalFormatting>
  <conditionalFormatting sqref="B26:C26">
    <cfRule type="expression" dxfId="36" priority="5">
      <formula>ISBLANK(B26)</formula>
    </cfRule>
  </conditionalFormatting>
  <conditionalFormatting sqref="B30:C30">
    <cfRule type="expression" dxfId="35" priority="4">
      <formula>ISBLANK(B30)</formula>
    </cfRule>
  </conditionalFormatting>
  <conditionalFormatting sqref="B37:C37">
    <cfRule type="expression" dxfId="34" priority="3">
      <formula>ISBLANK(B37)</formula>
    </cfRule>
  </conditionalFormatting>
  <conditionalFormatting sqref="B38:C38">
    <cfRule type="expression" dxfId="33" priority="2">
      <formula>ISBLANK(B38)</formula>
    </cfRule>
  </conditionalFormatting>
  <conditionalFormatting sqref="B39:C39">
    <cfRule type="expression" dxfId="32" priority="1">
      <formula>ISBLANK(B39)</formula>
    </cfRule>
  </conditionalFormatting>
  <dataValidations count="9">
    <dataValidation allowBlank="1" showInputMessage="1" showErrorMessage="1" promptTitle="Achtung!" prompt="NWL fossil muss NWL Biomassekessel entsprechen." sqref="D9" xr:uid="{34E9F6D5-19CC-4A80-8E9C-6A539F0C87A6}"/>
    <dataValidation type="decimal" operator="greaterThanOrEqual" allowBlank="1" showInputMessage="1" showErrorMessage="1" prompt="Zinsansatz kann auch erhöht werden." sqref="E14:E18" xr:uid="{9F8C7E02-45F7-47FC-ACCE-BF9A00DB899C}">
      <formula1>0.04</formula1>
    </dataValidation>
    <dataValidation type="decimal" operator="lessThanOrEqual" allowBlank="1" showInputMessage="1" showErrorMessage="1" prompt="Nutzungsdauer kann verkürzt werden." sqref="D16:D18 D24" xr:uid="{569FBB91-CE7C-4E7C-8458-B7658CFACAA9}">
      <formula1>10</formula1>
    </dataValidation>
    <dataValidation type="decimal" operator="lessThanOrEqual" allowBlank="1" showInputMessage="1" showErrorMessage="1" prompt="Nutzungsdauer kann auch verkürzt werden." sqref="D14" xr:uid="{48EB7D6E-FDCE-4EE5-B01B-A50E119E70CE}">
      <formula1>15</formula1>
    </dataValidation>
    <dataValidation type="decimal" operator="lessThanOrEqual" allowBlank="1" showInputMessage="1" showErrorMessage="1" prompt="Nutzungsdauer kann auch verkürzt werden." sqref="D15" xr:uid="{1BDB14BD-3980-49A2-A1E4-6212EC648AAA}">
      <formula1>9</formula1>
    </dataValidation>
    <dataValidation type="decimal" operator="greaterThanOrEqual" allowBlank="1" showInputMessage="1" showErrorMessage="1" prompt="Zinsansatz kann auch erhöht werden." sqref="E24:E26 E39" xr:uid="{6B5453C0-7A35-4174-BB37-ABC7A0E34EBD}">
      <formula1>0.01</formula1>
    </dataValidation>
    <dataValidation type="decimal" operator="lessThanOrEqual" allowBlank="1" showInputMessage="1" showErrorMessage="1" prompt="Nutzungsdauer kann auch verkürzt werden." sqref="D30" xr:uid="{4A5365A9-3F36-4A85-A386-92330F99342E}">
      <formula1>20</formula1>
    </dataValidation>
    <dataValidation type="decimal" operator="lessThanOrEqual" allowBlank="1" showInputMessage="1" showErrorMessage="1" prompt="Nutzungsdauer kann auch verkürzt werden." sqref="D25 D26 D39" xr:uid="{CEE1991C-1E1D-488A-A6DC-AF6946EDCF32}">
      <formula1>30</formula1>
    </dataValidation>
    <dataValidation type="decimal" operator="greaterThan" allowBlank="1" showInputMessage="1" showErrorMessage="1" sqref="B15:C18 B14:C14 B24:C26 B30:C30 B37:C39" xr:uid="{DEF549B9-E7CB-42CF-81CC-9D69A419C858}">
      <formula1>0</formula1>
    </dataValidation>
  </dataValidations>
  <printOptions headings="1"/>
  <pageMargins left="0.23622047244094491" right="0" top="0.74803149606299213" bottom="0.52" header="0.31496062992125984" footer="0.31496062992125984"/>
  <pageSetup paperSize="9" scale="88" fitToHeight="0" orientation="landscape" r:id="rId1"/>
  <headerFooter>
    <oddHeader>&amp;R&amp;"Arial,Fett"Förderantrag BioMeth Bayern -&amp;14 Anlage Kostenplan</oddHeader>
    <oddFooter>&amp;C&amp;"Arial,Standard"&amp;9&amp;P&amp;R&amp;"Arial,Fett"2.1 Vorlage 05071 Stand: 15.04.2024</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promptTitle="max. Fördersätze" prompt="kleines Unternehmen: 40 %_x000a_mittleres Unternehmen: 35 %_x000a_große Unternehmen: 30 %_x000a_Gebietskörperschaften: 30 %_x000a_Natürliche Personen und Sonstige: 30 % " xr:uid="{8A1E7556-CC79-47A3-8C3C-2E8FB39CE38D}">
          <x14:formula1>
            <xm:f>Fördergrenzen!$A$4:$A$6</xm:f>
          </x14:formula1>
          <xm:sqref>C46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676AB-BA5F-45D9-A924-DB03FE197C01}">
  <sheetPr>
    <pageSetUpPr fitToPage="1"/>
  </sheetPr>
  <dimension ref="A1:Q51"/>
  <sheetViews>
    <sheetView showGridLines="0" zoomScale="130" zoomScaleNormal="130" workbookViewId="0">
      <selection activeCell="C13" sqref="C13:H13"/>
    </sheetView>
  </sheetViews>
  <sheetFormatPr baseColWidth="10" defaultColWidth="11.42578125" defaultRowHeight="15" customHeight="1" x14ac:dyDescent="0.2"/>
  <cols>
    <col min="1" max="2" width="2.5703125" style="316" customWidth="1"/>
    <col min="3" max="3" width="11.42578125" style="316" customWidth="1"/>
    <col min="4" max="5" width="11.42578125" style="316"/>
    <col min="6" max="6" width="4.28515625" style="316" customWidth="1"/>
    <col min="7" max="7" width="16.85546875" style="316" customWidth="1"/>
    <col min="8" max="8" width="4.7109375" style="316" hidden="1" customWidth="1"/>
    <col min="9" max="9" width="20.140625" style="316" customWidth="1"/>
    <col min="10" max="10" width="20.85546875" style="316" customWidth="1"/>
    <col min="11" max="11" width="11.140625" style="316" customWidth="1"/>
    <col min="12" max="12" width="11.42578125" style="316"/>
    <col min="13" max="17" width="11.42578125" style="316" hidden="1" customWidth="1"/>
    <col min="18" max="16384" width="11.42578125" style="316"/>
  </cols>
  <sheetData>
    <row r="1" spans="2:17" s="310" customFormat="1" ht="21.75" customHeight="1" x14ac:dyDescent="0.4">
      <c r="B1" s="588" t="s">
        <v>341</v>
      </c>
      <c r="C1" s="588"/>
      <c r="D1" s="588"/>
      <c r="E1" s="588"/>
      <c r="F1" s="588"/>
      <c r="G1" s="588"/>
      <c r="H1" s="588"/>
      <c r="I1" s="588"/>
      <c r="J1" s="588"/>
      <c r="K1" s="309"/>
    </row>
    <row r="2" spans="2:17" s="310" customFormat="1" ht="6.75" customHeight="1" x14ac:dyDescent="0.2">
      <c r="B2" s="249"/>
      <c r="C2" s="249"/>
      <c r="D2" s="249"/>
      <c r="E2" s="249"/>
      <c r="F2" s="249"/>
      <c r="G2" s="249"/>
      <c r="H2" s="249"/>
      <c r="I2" s="249"/>
      <c r="J2" s="249"/>
      <c r="K2" s="249"/>
    </row>
    <row r="3" spans="2:17" s="310" customFormat="1" ht="12.75" customHeight="1" x14ac:dyDescent="0.2">
      <c r="B3" s="250" t="s">
        <v>75</v>
      </c>
      <c r="C3" s="249"/>
      <c r="D3" s="249"/>
      <c r="E3" s="249"/>
      <c r="F3" s="249"/>
      <c r="G3" s="249"/>
      <c r="H3" s="249"/>
      <c r="I3" s="249"/>
      <c r="J3" s="249"/>
      <c r="K3" s="249"/>
    </row>
    <row r="4" spans="2:17" s="310" customFormat="1" ht="6.75" customHeight="1" x14ac:dyDescent="0.2">
      <c r="B4" s="250"/>
      <c r="C4" s="249"/>
      <c r="D4" s="249"/>
      <c r="E4" s="249"/>
      <c r="F4" s="249"/>
      <c r="G4" s="249"/>
      <c r="H4" s="249"/>
      <c r="I4" s="249"/>
      <c r="J4" s="249"/>
      <c r="K4" s="249"/>
    </row>
    <row r="5" spans="2:17" s="310" customFormat="1" ht="21.75" customHeight="1" thickBot="1" x14ac:dyDescent="0.25">
      <c r="B5" s="524" cm="1">
        <f t="array" ref="B5">'Einsatzstoffe Nr. 2.1'!A5:A5</f>
        <v>0</v>
      </c>
      <c r="C5" s="524"/>
      <c r="D5" s="524"/>
      <c r="E5" s="524"/>
      <c r="F5" s="524"/>
      <c r="G5" s="524"/>
      <c r="H5" s="524"/>
      <c r="I5" s="524"/>
      <c r="J5" s="524"/>
      <c r="K5" s="504"/>
      <c r="M5" s="589" t="s">
        <v>76</v>
      </c>
      <c r="N5" s="589"/>
      <c r="O5" s="589"/>
      <c r="P5" s="589"/>
      <c r="Q5" s="589"/>
    </row>
    <row r="6" spans="2:17" s="310" customFormat="1" ht="12.75" x14ac:dyDescent="0.2">
      <c r="B6" s="311" t="s">
        <v>318</v>
      </c>
      <c r="C6" s="251"/>
      <c r="D6" s="251"/>
      <c r="E6" s="252"/>
      <c r="F6" s="252"/>
      <c r="G6" s="252"/>
      <c r="I6" s="312"/>
    </row>
    <row r="7" spans="2:17" s="310" customFormat="1" ht="9" customHeight="1" x14ac:dyDescent="0.2">
      <c r="B7" s="251"/>
      <c r="C7" s="251"/>
      <c r="D7" s="251"/>
      <c r="E7" s="252"/>
      <c r="F7" s="252"/>
      <c r="G7" s="252"/>
      <c r="I7" s="312"/>
    </row>
    <row r="8" spans="2:17" s="310" customFormat="1" ht="6.75" customHeight="1" x14ac:dyDescent="0.2">
      <c r="B8" s="251"/>
      <c r="C8" s="251"/>
      <c r="D8" s="251"/>
      <c r="E8" s="252"/>
      <c r="F8" s="252"/>
      <c r="G8" s="252"/>
      <c r="I8" s="312"/>
    </row>
    <row r="9" spans="2:17" s="310" customFormat="1" ht="12.75" x14ac:dyDescent="0.2">
      <c r="B9" s="252" t="s">
        <v>315</v>
      </c>
      <c r="I9" s="312"/>
    </row>
    <row r="10" spans="2:17" s="310" customFormat="1" ht="6.75" customHeight="1" x14ac:dyDescent="0.2">
      <c r="B10" s="252"/>
      <c r="I10" s="312"/>
    </row>
    <row r="11" spans="2:17" s="310" customFormat="1" ht="12.75" x14ac:dyDescent="0.2">
      <c r="B11" s="253" t="s">
        <v>77</v>
      </c>
      <c r="I11" s="313"/>
    </row>
    <row r="12" spans="2:17" s="310" customFormat="1" ht="12.75" x14ac:dyDescent="0.2">
      <c r="B12" s="253"/>
      <c r="I12" s="313"/>
    </row>
    <row r="13" spans="2:17" s="310" customFormat="1" ht="21.75" customHeight="1" x14ac:dyDescent="0.2">
      <c r="C13" s="590" t="s">
        <v>110</v>
      </c>
      <c r="D13" s="591"/>
      <c r="E13" s="591"/>
      <c r="F13" s="591"/>
      <c r="G13" s="591"/>
      <c r="H13" s="592"/>
      <c r="I13" s="356"/>
      <c r="J13" s="254"/>
      <c r="K13" s="255"/>
      <c r="M13" s="330" t="s">
        <v>145</v>
      </c>
      <c r="N13" s="330" t="s">
        <v>111</v>
      </c>
      <c r="O13" s="331" t="s">
        <v>112</v>
      </c>
      <c r="P13" s="331" t="s">
        <v>113</v>
      </c>
      <c r="Q13" s="330" t="s">
        <v>114</v>
      </c>
    </row>
    <row r="14" spans="2:17" s="310" customFormat="1" ht="19.350000000000001" customHeight="1" x14ac:dyDescent="0.2">
      <c r="C14" s="590" t="s">
        <v>360</v>
      </c>
      <c r="D14" s="591"/>
      <c r="E14" s="591"/>
      <c r="F14" s="591"/>
      <c r="G14" s="591"/>
      <c r="H14" s="592"/>
      <c r="I14" s="386"/>
      <c r="J14" s="385" t="s">
        <v>78</v>
      </c>
      <c r="K14" s="255"/>
      <c r="O14" s="252"/>
      <c r="P14" s="252"/>
    </row>
    <row r="15" spans="2:17" s="310" customFormat="1" ht="19.350000000000001" customHeight="1" x14ac:dyDescent="0.2">
      <c r="C15" s="590" t="s">
        <v>115</v>
      </c>
      <c r="D15" s="591"/>
      <c r="E15" s="591"/>
      <c r="F15" s="591"/>
      <c r="G15" s="591"/>
      <c r="H15" s="592"/>
      <c r="I15" s="387">
        <f>'CO2_Minderung_2.1'!B12</f>
        <v>0</v>
      </c>
      <c r="J15" s="438" t="s">
        <v>88</v>
      </c>
    </row>
    <row r="16" spans="2:17" s="310" customFormat="1" ht="19.350000000000001" customHeight="1" x14ac:dyDescent="0.2">
      <c r="C16" s="590" t="s">
        <v>312</v>
      </c>
      <c r="D16" s="591"/>
      <c r="E16" s="591"/>
      <c r="F16" s="591"/>
      <c r="G16" s="591"/>
      <c r="H16" s="592"/>
      <c r="I16" s="388">
        <f>'CO2_Minderung_2.1'!B16</f>
        <v>0</v>
      </c>
      <c r="J16" s="385"/>
      <c r="K16" s="252"/>
      <c r="O16" s="252"/>
    </row>
    <row r="17" spans="2:17" s="310" customFormat="1" ht="19.350000000000001" customHeight="1" x14ac:dyDescent="0.2">
      <c r="C17" s="590" t="s">
        <v>116</v>
      </c>
      <c r="D17" s="591"/>
      <c r="E17" s="591"/>
      <c r="F17" s="591"/>
      <c r="G17" s="591"/>
      <c r="H17" s="592"/>
      <c r="I17" s="386"/>
      <c r="J17" s="357" t="s">
        <v>118</v>
      </c>
      <c r="N17" s="252"/>
    </row>
    <row r="18" spans="2:17" s="310" customFormat="1" ht="19.350000000000001" customHeight="1" x14ac:dyDescent="0.2">
      <c r="C18" s="590" t="s">
        <v>117</v>
      </c>
      <c r="D18" s="591"/>
      <c r="E18" s="591"/>
      <c r="F18" s="591"/>
      <c r="G18" s="591"/>
      <c r="H18" s="592"/>
      <c r="I18" s="386"/>
      <c r="J18" s="357" t="s">
        <v>118</v>
      </c>
      <c r="K18" s="255"/>
      <c r="M18" s="252" t="s">
        <v>330</v>
      </c>
      <c r="N18" s="252" t="s">
        <v>331</v>
      </c>
      <c r="O18" s="310" t="s">
        <v>332</v>
      </c>
      <c r="P18" s="310" t="s">
        <v>329</v>
      </c>
      <c r="Q18" s="310" t="s">
        <v>368</v>
      </c>
    </row>
    <row r="19" spans="2:17" s="310" customFormat="1" ht="19.350000000000001" customHeight="1" x14ac:dyDescent="0.2">
      <c r="C19" s="397" t="s">
        <v>338</v>
      </c>
      <c r="D19" s="398"/>
      <c r="E19" s="398"/>
      <c r="F19" s="398"/>
      <c r="G19" s="398"/>
      <c r="H19" s="398"/>
      <c r="I19" s="503"/>
    </row>
    <row r="20" spans="2:17" s="310" customFormat="1" ht="19.350000000000001" customHeight="1" x14ac:dyDescent="0.2">
      <c r="C20" s="596"/>
      <c r="D20" s="597"/>
      <c r="E20" s="597"/>
      <c r="F20" s="597"/>
      <c r="G20" s="597"/>
      <c r="H20" s="598"/>
      <c r="I20" s="356"/>
      <c r="J20" s="399"/>
      <c r="K20" s="255"/>
    </row>
    <row r="21" spans="2:17" s="310" customFormat="1" ht="19.350000000000001" customHeight="1" x14ac:dyDescent="0.2">
      <c r="C21" s="593"/>
      <c r="D21" s="594"/>
      <c r="E21" s="594"/>
      <c r="F21" s="594"/>
      <c r="G21" s="594"/>
      <c r="H21" s="595"/>
      <c r="I21" s="356"/>
      <c r="J21" s="399"/>
      <c r="K21" s="255"/>
    </row>
    <row r="22" spans="2:17" s="310" customFormat="1" ht="19.350000000000001" customHeight="1" x14ac:dyDescent="0.2">
      <c r="C22" s="593"/>
      <c r="D22" s="594"/>
      <c r="E22" s="594"/>
      <c r="F22" s="594"/>
      <c r="G22" s="594"/>
      <c r="H22" s="595"/>
      <c r="I22" s="356"/>
      <c r="J22" s="399"/>
      <c r="K22" s="255"/>
    </row>
    <row r="23" spans="2:17" s="310" customFormat="1" ht="19.350000000000001" customHeight="1" x14ac:dyDescent="0.2">
      <c r="C23" s="596"/>
      <c r="D23" s="597"/>
      <c r="E23" s="597"/>
      <c r="F23" s="597"/>
      <c r="G23" s="597"/>
      <c r="H23" s="598"/>
      <c r="I23" s="356"/>
      <c r="J23" s="399"/>
    </row>
    <row r="24" spans="2:17" s="310" customFormat="1" ht="12.75" x14ac:dyDescent="0.2">
      <c r="C24" s="256"/>
      <c r="I24" s="312"/>
    </row>
    <row r="25" spans="2:17" s="310" customFormat="1" ht="12.75" hidden="1" x14ac:dyDescent="0.2">
      <c r="C25" s="256"/>
      <c r="I25" s="312"/>
    </row>
    <row r="26" spans="2:17" s="310" customFormat="1" ht="12.75" x14ac:dyDescent="0.2">
      <c r="B26" s="257" t="s">
        <v>313</v>
      </c>
      <c r="I26" s="312"/>
    </row>
    <row r="27" spans="2:17" s="310" customFormat="1" ht="12.75" x14ac:dyDescent="0.2">
      <c r="B27" s="257"/>
      <c r="I27" s="312"/>
    </row>
    <row r="28" spans="2:17" s="357" customFormat="1" ht="19.350000000000001" customHeight="1" x14ac:dyDescent="0.25">
      <c r="C28" s="579" t="s">
        <v>79</v>
      </c>
      <c r="D28" s="580"/>
      <c r="E28" s="580"/>
      <c r="F28" s="580"/>
      <c r="G28" s="580"/>
      <c r="H28" s="581"/>
      <c r="I28" s="358"/>
      <c r="J28" s="357" t="s">
        <v>78</v>
      </c>
      <c r="K28" s="359"/>
    </row>
    <row r="29" spans="2:17" s="357" customFormat="1" ht="19.350000000000001" customHeight="1" x14ac:dyDescent="0.25">
      <c r="C29" s="579" t="s">
        <v>344</v>
      </c>
      <c r="D29" s="599"/>
      <c r="E29" s="599"/>
      <c r="F29" s="599"/>
      <c r="G29" s="599"/>
      <c r="H29" s="366"/>
      <c r="I29" s="361"/>
      <c r="J29" s="357" t="s">
        <v>81</v>
      </c>
      <c r="K29" s="359"/>
    </row>
    <row r="30" spans="2:17" s="357" customFormat="1" ht="19.350000000000001" customHeight="1" x14ac:dyDescent="0.25">
      <c r="C30" s="582" t="s">
        <v>80</v>
      </c>
      <c r="D30" s="583"/>
      <c r="E30" s="583"/>
      <c r="F30" s="583"/>
      <c r="G30" s="583"/>
      <c r="H30" s="584"/>
      <c r="I30" s="358"/>
      <c r="J30" s="357" t="s">
        <v>78</v>
      </c>
    </row>
    <row r="31" spans="2:17" s="357" customFormat="1" ht="19.350000000000001" customHeight="1" x14ac:dyDescent="0.25">
      <c r="C31" s="582" t="s">
        <v>153</v>
      </c>
      <c r="D31" s="583"/>
      <c r="E31" s="583"/>
      <c r="F31" s="583"/>
      <c r="G31" s="583"/>
      <c r="H31" s="584"/>
      <c r="I31" s="389"/>
      <c r="J31" s="357" t="s">
        <v>328</v>
      </c>
    </row>
    <row r="32" spans="2:17" s="357" customFormat="1" ht="19.350000000000001" customHeight="1" x14ac:dyDescent="0.25">
      <c r="C32" s="582" t="s">
        <v>316</v>
      </c>
      <c r="D32" s="583"/>
      <c r="E32" s="583"/>
      <c r="F32" s="583"/>
      <c r="G32" s="583"/>
      <c r="H32" s="584"/>
      <c r="I32" s="389"/>
      <c r="J32" s="357" t="s">
        <v>328</v>
      </c>
    </row>
    <row r="33" spans="1:11" s="357" customFormat="1" ht="19.350000000000001" customHeight="1" x14ac:dyDescent="0.25">
      <c r="A33" s="573"/>
      <c r="C33" s="579" t="s">
        <v>154</v>
      </c>
      <c r="D33" s="580"/>
      <c r="E33" s="580"/>
      <c r="F33" s="580"/>
      <c r="G33" s="580"/>
      <c r="H33" s="581"/>
      <c r="I33" s="390"/>
      <c r="J33" s="360" t="s">
        <v>336</v>
      </c>
    </row>
    <row r="34" spans="1:11" s="357" customFormat="1" ht="19.350000000000001" customHeight="1" x14ac:dyDescent="0.25">
      <c r="A34" s="573"/>
      <c r="C34" s="579" t="s">
        <v>155</v>
      </c>
      <c r="D34" s="580"/>
      <c r="E34" s="580"/>
      <c r="F34" s="580"/>
      <c r="G34" s="580"/>
      <c r="H34" s="581"/>
      <c r="I34" s="390"/>
      <c r="J34" s="360" t="s">
        <v>336</v>
      </c>
    </row>
    <row r="35" spans="1:11" s="357" customFormat="1" ht="19.350000000000001" customHeight="1" x14ac:dyDescent="0.25">
      <c r="A35" s="573"/>
      <c r="C35" s="582" t="s">
        <v>326</v>
      </c>
      <c r="D35" s="583"/>
      <c r="E35" s="583"/>
      <c r="F35" s="583"/>
      <c r="G35" s="583"/>
      <c r="H35" s="584"/>
      <c r="I35" s="391"/>
      <c r="J35" s="357" t="s">
        <v>352</v>
      </c>
    </row>
    <row r="36" spans="1:11" s="357" customFormat="1" ht="19.350000000000001" customHeight="1" x14ac:dyDescent="0.25">
      <c r="A36" s="573"/>
      <c r="C36" s="582" t="s">
        <v>174</v>
      </c>
      <c r="D36" s="583"/>
      <c r="E36" s="583"/>
      <c r="F36" s="583"/>
      <c r="G36" s="583"/>
      <c r="H36" s="584"/>
      <c r="I36" s="361"/>
      <c r="J36" s="357" t="s">
        <v>82</v>
      </c>
    </row>
    <row r="37" spans="1:11" s="357" customFormat="1" ht="19.350000000000001" customHeight="1" x14ac:dyDescent="0.25">
      <c r="A37" s="573"/>
      <c r="C37" s="579" t="s">
        <v>334</v>
      </c>
      <c r="D37" s="580"/>
      <c r="E37" s="580"/>
      <c r="F37" s="580"/>
      <c r="G37" s="580"/>
      <c r="H37" s="581"/>
      <c r="I37" s="361"/>
      <c r="J37" s="357" t="s">
        <v>82</v>
      </c>
    </row>
    <row r="38" spans="1:11" s="357" customFormat="1" ht="19.350000000000001" customHeight="1" x14ac:dyDescent="0.25">
      <c r="A38" s="573"/>
      <c r="C38" s="582" t="s">
        <v>317</v>
      </c>
      <c r="D38" s="583"/>
      <c r="E38" s="583"/>
      <c r="F38" s="583"/>
      <c r="G38" s="583"/>
      <c r="H38" s="584"/>
      <c r="I38" s="361"/>
      <c r="J38" s="357" t="s">
        <v>82</v>
      </c>
      <c r="K38" s="359"/>
    </row>
    <row r="39" spans="1:11" s="357" customFormat="1" ht="19.350000000000001" customHeight="1" x14ac:dyDescent="0.25">
      <c r="A39" s="573"/>
      <c r="C39" s="574" t="s">
        <v>333</v>
      </c>
      <c r="D39" s="575"/>
      <c r="E39" s="575"/>
      <c r="F39" s="575"/>
      <c r="G39" s="575"/>
      <c r="H39" s="575"/>
      <c r="I39" s="576"/>
    </row>
    <row r="40" spans="1:11" s="357" customFormat="1" ht="19.350000000000001" customHeight="1" x14ac:dyDescent="0.25">
      <c r="A40" s="573"/>
      <c r="C40" s="585" t="str">
        <f>IF(ISBLANK(C20),"",C20)</f>
        <v/>
      </c>
      <c r="D40" s="586"/>
      <c r="E40" s="586"/>
      <c r="F40" s="586"/>
      <c r="G40" s="586"/>
      <c r="H40" s="587"/>
      <c r="I40" s="361"/>
      <c r="J40" s="357" t="s">
        <v>82</v>
      </c>
    </row>
    <row r="41" spans="1:11" s="357" customFormat="1" ht="19.350000000000001" customHeight="1" x14ac:dyDescent="0.25">
      <c r="A41" s="573"/>
      <c r="C41" s="585" t="str">
        <f t="shared" ref="C41:C43" si="0">IF(ISBLANK(C21),"",C21)</f>
        <v/>
      </c>
      <c r="D41" s="586"/>
      <c r="E41" s="586"/>
      <c r="F41" s="586"/>
      <c r="G41" s="586"/>
      <c r="H41" s="587"/>
      <c r="I41" s="361"/>
      <c r="J41" s="357" t="s">
        <v>82</v>
      </c>
    </row>
    <row r="42" spans="1:11" s="357" customFormat="1" ht="19.350000000000001" customHeight="1" x14ac:dyDescent="0.25">
      <c r="A42" s="573"/>
      <c r="C42" s="585" t="str">
        <f t="shared" si="0"/>
        <v/>
      </c>
      <c r="D42" s="586"/>
      <c r="E42" s="586"/>
      <c r="F42" s="586"/>
      <c r="G42" s="586"/>
      <c r="H42" s="587"/>
      <c r="I42" s="361"/>
      <c r="J42" s="357" t="s">
        <v>82</v>
      </c>
    </row>
    <row r="43" spans="1:11" s="357" customFormat="1" ht="19.350000000000001" customHeight="1" x14ac:dyDescent="0.25">
      <c r="A43" s="573"/>
      <c r="C43" s="585" t="str">
        <f t="shared" si="0"/>
        <v/>
      </c>
      <c r="D43" s="586"/>
      <c r="E43" s="586"/>
      <c r="F43" s="586"/>
      <c r="G43" s="586"/>
      <c r="H43" s="587"/>
      <c r="I43" s="358"/>
      <c r="J43" s="357" t="s">
        <v>82</v>
      </c>
    </row>
    <row r="44" spans="1:11" s="357" customFormat="1" ht="19.350000000000001" customHeight="1" x14ac:dyDescent="0.25">
      <c r="A44" s="573"/>
    </row>
    <row r="45" spans="1:11" s="310" customFormat="1" ht="12.75" x14ac:dyDescent="0.2">
      <c r="A45" s="573"/>
      <c r="B45" s="257"/>
      <c r="C45" s="577"/>
      <c r="D45" s="577"/>
      <c r="E45" s="577"/>
      <c r="F45" s="362"/>
      <c r="G45" s="363"/>
      <c r="H45" s="363"/>
      <c r="I45" s="363"/>
    </row>
    <row r="46" spans="1:11" s="310" customFormat="1" ht="12.75" x14ac:dyDescent="0.2">
      <c r="A46" s="573"/>
      <c r="B46" s="257"/>
      <c r="C46" s="578"/>
      <c r="D46" s="578"/>
      <c r="E46" s="578"/>
      <c r="F46" s="362"/>
      <c r="G46" s="364"/>
      <c r="H46" s="364"/>
      <c r="I46" s="364"/>
      <c r="J46" s="502"/>
    </row>
    <row r="47" spans="1:11" s="310" customFormat="1" ht="12.75" x14ac:dyDescent="0.2">
      <c r="A47" s="573"/>
      <c r="C47" s="252" t="s">
        <v>83</v>
      </c>
      <c r="D47" s="314"/>
      <c r="G47" s="252" t="s">
        <v>374</v>
      </c>
    </row>
    <row r="48" spans="1:11" s="310" customFormat="1" ht="12.75" x14ac:dyDescent="0.2">
      <c r="A48" s="573"/>
      <c r="C48" s="362"/>
      <c r="D48" s="362"/>
      <c r="E48" s="362"/>
      <c r="F48" s="362"/>
      <c r="G48" s="363"/>
      <c r="H48" s="363"/>
      <c r="I48" s="363"/>
    </row>
    <row r="49" spans="1:17" s="310" customFormat="1" ht="12.75" x14ac:dyDescent="0.2">
      <c r="A49" s="573"/>
      <c r="C49" s="577"/>
      <c r="D49" s="577"/>
      <c r="E49" s="577"/>
      <c r="F49" s="362"/>
      <c r="G49" s="363"/>
      <c r="H49" s="363"/>
      <c r="I49" s="363"/>
    </row>
    <row r="50" spans="1:17" s="310" customFormat="1" ht="12.75" x14ac:dyDescent="0.2">
      <c r="A50" s="573"/>
      <c r="C50" s="578"/>
      <c r="D50" s="578"/>
      <c r="E50" s="578"/>
      <c r="F50" s="362"/>
      <c r="G50" s="364"/>
      <c r="H50" s="364"/>
      <c r="I50" s="364"/>
      <c r="J50" s="502"/>
    </row>
    <row r="51" spans="1:17" s="310" customFormat="1" ht="12.75" x14ac:dyDescent="0.2">
      <c r="C51" s="252" t="s">
        <v>83</v>
      </c>
      <c r="D51" s="314"/>
      <c r="G51" s="252" t="s">
        <v>16</v>
      </c>
      <c r="Q51" s="315"/>
    </row>
  </sheetData>
  <sheetProtection algorithmName="SHA-512" hashValue="P2JBC6+McO7oKLaUFVy32iRxiGN73WRfiSzD3LT2XPhQhKIc/qeoOQnX5XfbgcRGiivXQnBHOXMm4c9/o1Yi7Q==" saltValue="bf+oNO3ZAONfRXdsMroQSg==" spinCount="100000" sheet="1" objects="1" scenarios="1"/>
  <mergeCells count="32">
    <mergeCell ref="C21:H21"/>
    <mergeCell ref="C22:H22"/>
    <mergeCell ref="C23:H23"/>
    <mergeCell ref="C37:H37"/>
    <mergeCell ref="C15:H15"/>
    <mergeCell ref="C16:H16"/>
    <mergeCell ref="C17:H17"/>
    <mergeCell ref="C18:H18"/>
    <mergeCell ref="C20:H20"/>
    <mergeCell ref="C28:H28"/>
    <mergeCell ref="C30:H30"/>
    <mergeCell ref="C31:H31"/>
    <mergeCell ref="C32:H32"/>
    <mergeCell ref="C29:G29"/>
    <mergeCell ref="B1:J1"/>
    <mergeCell ref="B5:J5"/>
    <mergeCell ref="M5:Q5"/>
    <mergeCell ref="C13:H13"/>
    <mergeCell ref="C14:H14"/>
    <mergeCell ref="A33:A50"/>
    <mergeCell ref="C39:I39"/>
    <mergeCell ref="C49:E50"/>
    <mergeCell ref="C34:H34"/>
    <mergeCell ref="C35:H35"/>
    <mergeCell ref="C36:H36"/>
    <mergeCell ref="C38:H38"/>
    <mergeCell ref="C40:H40"/>
    <mergeCell ref="C41:H41"/>
    <mergeCell ref="C42:H42"/>
    <mergeCell ref="C43:H43"/>
    <mergeCell ref="C33:H33"/>
    <mergeCell ref="C45:E46"/>
  </mergeCells>
  <conditionalFormatting sqref="B5 K5">
    <cfRule type="expression" dxfId="31" priority="42">
      <formula>ISBLANK($B$5)</formula>
    </cfRule>
  </conditionalFormatting>
  <conditionalFormatting sqref="J15">
    <cfRule type="expression" dxfId="30" priority="40">
      <formula>ISBLANK(J15)</formula>
    </cfRule>
  </conditionalFormatting>
  <conditionalFormatting sqref="I13">
    <cfRule type="expression" dxfId="29" priority="38">
      <formula>ISBLANK($I$13)</formula>
    </cfRule>
  </conditionalFormatting>
  <conditionalFormatting sqref="I14">
    <cfRule type="expression" dxfId="28" priority="35">
      <formula>ISBLANK($I$14)</formula>
    </cfRule>
  </conditionalFormatting>
  <conditionalFormatting sqref="I15">
    <cfRule type="expression" dxfId="27" priority="34">
      <formula>ISBLANK($I$15)</formula>
    </cfRule>
  </conditionalFormatting>
  <conditionalFormatting sqref="I17">
    <cfRule type="expression" dxfId="26" priority="33">
      <formula>ISBLANK($I$17)</formula>
    </cfRule>
  </conditionalFormatting>
  <conditionalFormatting sqref="I18">
    <cfRule type="expression" dxfId="25" priority="32">
      <formula>ISBLANK($I$18)</formula>
    </cfRule>
  </conditionalFormatting>
  <conditionalFormatting sqref="C20:H20">
    <cfRule type="expression" dxfId="24" priority="30">
      <formula>ISBLANK($C$20)</formula>
    </cfRule>
  </conditionalFormatting>
  <conditionalFormatting sqref="C21:H21">
    <cfRule type="expression" dxfId="23" priority="29">
      <formula>ISBLANK($C$21)</formula>
    </cfRule>
  </conditionalFormatting>
  <conditionalFormatting sqref="C22:H22">
    <cfRule type="expression" dxfId="22" priority="28">
      <formula>ISBLANK($C$22)</formula>
    </cfRule>
  </conditionalFormatting>
  <conditionalFormatting sqref="C23:H23">
    <cfRule type="expression" dxfId="21" priority="27">
      <formula>ISBLANK($C$23)</formula>
    </cfRule>
  </conditionalFormatting>
  <conditionalFormatting sqref="I22">
    <cfRule type="expression" dxfId="20" priority="24">
      <formula>ISBLANK($I$22)</formula>
    </cfRule>
  </conditionalFormatting>
  <conditionalFormatting sqref="I23">
    <cfRule type="expression" dxfId="19" priority="23">
      <formula>ISBLANK($I$23)</formula>
    </cfRule>
  </conditionalFormatting>
  <conditionalFormatting sqref="I30">
    <cfRule type="expression" dxfId="18" priority="21">
      <formula>ISBLANK($I$30)</formula>
    </cfRule>
  </conditionalFormatting>
  <conditionalFormatting sqref="I31">
    <cfRule type="expression" dxfId="17" priority="20">
      <formula>ISBLANK($I$31)</formula>
    </cfRule>
  </conditionalFormatting>
  <conditionalFormatting sqref="I32">
    <cfRule type="expression" dxfId="16" priority="19">
      <formula>ISBLANK($I$32)</formula>
    </cfRule>
  </conditionalFormatting>
  <conditionalFormatting sqref="I33">
    <cfRule type="expression" dxfId="15" priority="18">
      <formula>ISBLANK($I$33)</formula>
    </cfRule>
  </conditionalFormatting>
  <conditionalFormatting sqref="I34">
    <cfRule type="expression" dxfId="14" priority="17">
      <formula>ISBLANK($I$34)</formula>
    </cfRule>
  </conditionalFormatting>
  <conditionalFormatting sqref="I35">
    <cfRule type="expression" dxfId="13" priority="16">
      <formula>ISBLANK($I$35)</formula>
    </cfRule>
  </conditionalFormatting>
  <conditionalFormatting sqref="I36:I37">
    <cfRule type="expression" dxfId="12" priority="15">
      <formula>ISBLANK($I$36)</formula>
    </cfRule>
  </conditionalFormatting>
  <conditionalFormatting sqref="I38">
    <cfRule type="expression" dxfId="11" priority="14">
      <formula>ISBLANK($I$38)</formula>
    </cfRule>
  </conditionalFormatting>
  <conditionalFormatting sqref="I37">
    <cfRule type="expression" dxfId="10" priority="12">
      <formula>ISBLANK($I$37)</formula>
    </cfRule>
  </conditionalFormatting>
  <conditionalFormatting sqref="I40">
    <cfRule type="expression" dxfId="9" priority="11">
      <formula>ISBLANK($I$40)</formula>
    </cfRule>
  </conditionalFormatting>
  <conditionalFormatting sqref="I41">
    <cfRule type="expression" dxfId="8" priority="10">
      <formula>ISBLANK($I$41)</formula>
    </cfRule>
  </conditionalFormatting>
  <conditionalFormatting sqref="I43">
    <cfRule type="expression" dxfId="7" priority="8">
      <formula>ISBLANK($I$43)</formula>
    </cfRule>
  </conditionalFormatting>
  <conditionalFormatting sqref="I42">
    <cfRule type="expression" dxfId="6" priority="7">
      <formula>ISBLANK($I$42)</formula>
    </cfRule>
  </conditionalFormatting>
  <conditionalFormatting sqref="C49:E50">
    <cfRule type="expression" dxfId="5" priority="6">
      <formula>ISBLANK($C$49)</formula>
    </cfRule>
  </conditionalFormatting>
  <conditionalFormatting sqref="I28:I29">
    <cfRule type="expression" dxfId="4" priority="5">
      <formula>ISBLANK(I28)</formula>
    </cfRule>
  </conditionalFormatting>
  <conditionalFormatting sqref="J20:J23">
    <cfRule type="expression" dxfId="3" priority="4">
      <formula>ISBLANK(J20)</formula>
    </cfRule>
  </conditionalFormatting>
  <conditionalFormatting sqref="I21">
    <cfRule type="expression" dxfId="2" priority="3">
      <formula>ISBLANK(I21)</formula>
    </cfRule>
  </conditionalFormatting>
  <conditionalFormatting sqref="I20">
    <cfRule type="expression" dxfId="1" priority="2">
      <formula>ISBLANK(I20)</formula>
    </cfRule>
  </conditionalFormatting>
  <conditionalFormatting sqref="C45:E46">
    <cfRule type="expression" dxfId="0" priority="1">
      <formula>ISBLANK($C$49)</formula>
    </cfRule>
  </conditionalFormatting>
  <dataValidations count="16">
    <dataValidation type="decimal" allowBlank="1" showInputMessage="1" showErrorMessage="1" prompt="Werte zwischen 0,01-2 €/kWh zulässig" sqref="I34" xr:uid="{62290950-770D-409E-AB36-E97E29B5B608}">
      <formula1>0.01</formula1>
      <formula2>2</formula2>
    </dataValidation>
    <dataValidation type="decimal" allowBlank="1" showInputMessage="1" showErrorMessage="1" prompt="Werte zwischen 0,03-2 €/kWh zulässig" sqref="I33" xr:uid="{ECB92F10-EE29-4EBE-A74C-7F9DB94549B4}">
      <formula1>0.03</formula1>
      <formula2>2</formula2>
    </dataValidation>
    <dataValidation type="whole" allowBlank="1" showInputMessage="1" showErrorMessage="1" prompt="Bitte Einheit (Spalte J) auswählen!" sqref="I22 I20" xr:uid="{8B06611B-F4AA-44FD-8BAF-0E45047DDBA3}">
      <formula1>0</formula1>
      <formula2>1000000</formula2>
    </dataValidation>
    <dataValidation allowBlank="1" showErrorMessage="1" prompt="Bitte Einheit (Spalte J) auswählen!" sqref="I18 I15" xr:uid="{DD1A8D16-28AC-49B1-BFFA-6F1865F1BB25}"/>
    <dataValidation allowBlank="1" showErrorMessage="1" prompt="Bitte aus Liste auswählen!" sqref="I16" xr:uid="{B98F697F-F4F5-4344-BC1C-785A8618A6D8}"/>
    <dataValidation type="list" allowBlank="1" showInputMessage="1" showErrorMessage="1" prompt="Bitte aus Liste auswählen!" sqref="I13" xr:uid="{5011614E-C37E-4238-85B2-DA6B67BCBE98}">
      <formula1>$M$13:$Q$13</formula1>
    </dataValidation>
    <dataValidation type="whole" allowBlank="1" showInputMessage="1" showErrorMessage="1" prompt="Bitte Einheit (Spalte J) auswählen!" sqref="I23" xr:uid="{592CF13B-91F5-405B-A47A-EFBD79D033DF}">
      <formula1>0</formula1>
      <formula2>30000</formula2>
    </dataValidation>
    <dataValidation type="decimal" allowBlank="1" showInputMessage="1" showErrorMessage="1" prompt="Der kalulatorische Zinssatz für das eingesetzte Eigenkapital bestimmt die gewünschte Verzinsung für das eingesetzte Eigenkapital. In der Regel liegt diese im Bereich der Verzinsung, die am Kapitalmarkt für entsprechende Geldanlagen erreicht wird." sqref="I28" xr:uid="{52C0864D-96DE-42A6-A12C-D81A7A213863}">
      <formula1>0</formula1>
      <formula2>25</formula2>
    </dataValidation>
    <dataValidation type="list" allowBlank="1" showInputMessage="1" showErrorMessage="1" sqref="H11:H12" xr:uid="{ED2242E7-7C4F-43B7-9DAD-2A4062996DA0}">
      <formula1>#REF!</formula1>
    </dataValidation>
    <dataValidation type="list" allowBlank="1" showInputMessage="1" showErrorMessage="1" sqref="J20:J21 J23" xr:uid="{B5908147-6BEA-4AA1-9E2F-F159F94A6DB8}">
      <formula1>$M$18:$P$18</formula1>
    </dataValidation>
    <dataValidation allowBlank="1" showErrorMessage="1" sqref="I14" xr:uid="{1831D5D6-1510-4B03-9F13-34C2E1F21C80}"/>
    <dataValidation type="whole" allowBlank="1" showInputMessage="1" showErrorMessage="1" prompt="Bitte Einheit (Spalte) J auswählen!" sqref="I21" xr:uid="{FE240B89-E02C-4FE7-AB72-C4A52E4644C6}">
      <formula1>0</formula1>
      <formula2>1000000</formula2>
    </dataValidation>
    <dataValidation type="decimal" allowBlank="1" showErrorMessage="1" prompt="Der kalulatorische Zinssatz für das eingesetzte Eigenkapital bestimmt die gewünschte Verzinsung für das eingesetzte Eigenkapital. In der Regel liegt diese im Bereich der Verzinsung, die am Kapitalmarkt für entsprechende Geldanlagen erreicht wird." sqref="I30" xr:uid="{6C5041C8-9721-4F4E-BEB6-C771368637BD}">
      <formula1>0</formula1>
      <formula2>25</formula2>
    </dataValidation>
    <dataValidation type="list" allowBlank="1" showInputMessage="1" showErrorMessage="1" sqref="J22" xr:uid="{AE5B3AE0-D63C-4ADA-89B9-12C14AF252A4}">
      <formula1>$M$18:$Q$18</formula1>
    </dataValidation>
    <dataValidation allowBlank="1" showInputMessage="1" showErrorMessage="1" promptTitle="Hinweis" prompt="Max. 0,5 kWh/Nm³ Biogas lt. Antragskonzept" sqref="I17" xr:uid="{1E01D76E-6D98-4E0B-8656-701E5573FF0F}"/>
    <dataValidation allowBlank="1" showInputMessage="1" showErrorMessage="1" prompt="Vgl. Wert im Antragsformular unter 3.2" sqref="I29" xr:uid="{8979B9B9-9BC9-4B34-89AA-3CC8E016E8C7}"/>
  </dataValidations>
  <pageMargins left="0.70866141732283472" right="0.70866141732283472" top="0.98425196850393704" bottom="0.78740157480314965" header="0.31496062992125984" footer="0.31496062992125984"/>
  <pageSetup paperSize="9" scale="86" orientation="portrait" r:id="rId1"/>
  <headerFooter>
    <oddHeader>&amp;R&amp;"Arial,Standard"&amp;10Förderantrag BioMeth Bayern -  &amp;"Arial,Fett"&amp;12Anlage W</oddHeader>
    <oddFooter>&amp;C&amp;"Arial,Standard"&amp;9&amp;P&amp;R&amp;"Arial,Fett"&amp;10 2.1 Vorlage 05071 Stand: 15.04.2024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DED63-C4CE-499D-A914-002D87F97E9B}">
  <dimension ref="A1:G6"/>
  <sheetViews>
    <sheetView workbookViewId="0">
      <selection activeCell="C4" sqref="C4"/>
    </sheetView>
  </sheetViews>
  <sheetFormatPr baseColWidth="10" defaultRowHeight="15" customHeight="1" x14ac:dyDescent="0.25"/>
  <cols>
    <col min="1" max="1" width="13.5703125" bestFit="1" customWidth="1"/>
    <col min="2" max="2" width="16.5703125" customWidth="1"/>
    <col min="3" max="3" width="18.7109375" customWidth="1"/>
    <col min="4" max="4" width="19.140625" customWidth="1"/>
    <col min="6" max="6" width="74.5703125" bestFit="1" customWidth="1"/>
  </cols>
  <sheetData>
    <row r="1" spans="1:7" s="33" customFormat="1" ht="12.75" x14ac:dyDescent="0.2">
      <c r="A1" s="33" t="s">
        <v>361</v>
      </c>
      <c r="B1" s="39"/>
      <c r="C1" s="88"/>
    </row>
    <row r="2" spans="1:7" s="33" customFormat="1" ht="12.75" x14ac:dyDescent="0.2">
      <c r="B2" s="39"/>
      <c r="C2" s="88"/>
    </row>
    <row r="3" spans="1:7" s="33" customFormat="1" ht="12.75" x14ac:dyDescent="0.2">
      <c r="A3" s="89" t="s">
        <v>99</v>
      </c>
      <c r="B3" s="90" t="s">
        <v>100</v>
      </c>
      <c r="C3" s="91" t="s">
        <v>101</v>
      </c>
      <c r="D3" s="89" t="s">
        <v>102</v>
      </c>
      <c r="F3" s="33" t="s">
        <v>103</v>
      </c>
      <c r="G3" s="33" t="s">
        <v>104</v>
      </c>
    </row>
    <row r="4" spans="1:7" s="33" customFormat="1" x14ac:dyDescent="0.25">
      <c r="A4" s="92">
        <v>0.3</v>
      </c>
      <c r="B4" s="93">
        <f>SUM(A4:A4)</f>
        <v>0.3</v>
      </c>
      <c r="C4" s="91" t="s">
        <v>105</v>
      </c>
      <c r="D4" s="94">
        <v>0.45</v>
      </c>
      <c r="F4" s="33" t="s">
        <v>346</v>
      </c>
      <c r="G4" s="33">
        <v>500000</v>
      </c>
    </row>
    <row r="5" spans="1:7" s="33" customFormat="1" x14ac:dyDescent="0.25">
      <c r="A5" s="92">
        <v>0.35</v>
      </c>
      <c r="B5" s="93">
        <f>SUM(A5:A5)</f>
        <v>0.35</v>
      </c>
      <c r="C5" s="91" t="s">
        <v>106</v>
      </c>
      <c r="D5" s="94">
        <v>0.55000000000000004</v>
      </c>
      <c r="F5" s="33" t="s">
        <v>347</v>
      </c>
      <c r="G5" s="33">
        <v>800000</v>
      </c>
    </row>
    <row r="6" spans="1:7" s="33" customFormat="1" x14ac:dyDescent="0.25">
      <c r="A6" s="92">
        <v>0.4</v>
      </c>
      <c r="B6" s="93">
        <f>SUM(A6:A6)</f>
        <v>0.4</v>
      </c>
      <c r="C6" s="91" t="s">
        <v>107</v>
      </c>
      <c r="D6" s="94">
        <v>0.65</v>
      </c>
      <c r="F6" s="33" t="s">
        <v>348</v>
      </c>
      <c r="G6" s="33">
        <v>700000</v>
      </c>
    </row>
  </sheetData>
  <sheetProtection sheet="1" objects="1" scenarios="1"/>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2328C-C441-4E19-A080-BAB2E68D9B89}">
  <dimension ref="A1:Q476"/>
  <sheetViews>
    <sheetView showGridLines="0" zoomScaleNormal="100" workbookViewId="0"/>
  </sheetViews>
  <sheetFormatPr baseColWidth="10" defaultColWidth="12.5703125" defaultRowHeight="15" customHeight="1" x14ac:dyDescent="0.25"/>
  <cols>
    <col min="1" max="1" width="24.140625" customWidth="1"/>
    <col min="2" max="2" width="16.42578125" bestFit="1" customWidth="1"/>
    <col min="3" max="3" width="13.7109375" customWidth="1"/>
    <col min="4" max="4" width="19.42578125" bestFit="1" customWidth="1"/>
    <col min="5" max="5" width="17.28515625" customWidth="1"/>
    <col min="6" max="6" width="21.85546875" customWidth="1"/>
    <col min="7" max="7" width="25.7109375" customWidth="1"/>
    <col min="8" max="8" width="16.7109375" bestFit="1" customWidth="1"/>
    <col min="9" max="9" width="15.7109375" customWidth="1"/>
    <col min="10" max="10" width="8.7109375" bestFit="1" customWidth="1"/>
    <col min="11" max="11" width="14.42578125" customWidth="1"/>
    <col min="12" max="12" width="16.5703125" customWidth="1"/>
    <col min="13" max="13" width="12.5703125" style="304" customWidth="1"/>
  </cols>
  <sheetData>
    <row r="1" spans="1:14" ht="15" customHeight="1" x14ac:dyDescent="0.25">
      <c r="A1" s="400" cm="1">
        <f t="array" ref="A1">'Einsatzstoffe Nr. 2.1'!A5:A5</f>
        <v>0</v>
      </c>
    </row>
    <row r="3" spans="1:14" s="136" customFormat="1" ht="18" customHeight="1" x14ac:dyDescent="0.25">
      <c r="A3" s="412" t="s">
        <v>362</v>
      </c>
      <c r="D3" s="239"/>
      <c r="E3" s="601"/>
      <c r="F3" s="601"/>
      <c r="G3" s="239"/>
      <c r="H3" s="238"/>
      <c r="M3" s="238"/>
    </row>
    <row r="4" spans="1:14" s="136" customFormat="1" ht="14.25" x14ac:dyDescent="0.25">
      <c r="A4" s="136" t="s">
        <v>164</v>
      </c>
      <c r="B4" s="145"/>
      <c r="C4" s="145"/>
      <c r="D4" s="146"/>
      <c r="E4" s="144"/>
      <c r="F4" s="144"/>
      <c r="G4" s="245"/>
      <c r="H4" s="246"/>
      <c r="I4" s="144"/>
      <c r="M4" s="238"/>
    </row>
    <row r="5" spans="1:14" s="413" customFormat="1" ht="13.5" x14ac:dyDescent="0.25">
      <c r="B5" s="322" t="s">
        <v>364</v>
      </c>
      <c r="C5" s="322"/>
      <c r="D5" s="323" t="s">
        <v>335</v>
      </c>
      <c r="E5" s="323" t="s">
        <v>365</v>
      </c>
      <c r="F5" s="323" t="str">
        <f>'Anlage W Nr. 2.1'!C32</f>
        <v>Verkaufspreis Biomethan</v>
      </c>
      <c r="G5" s="144"/>
      <c r="H5" s="144"/>
      <c r="M5" s="414"/>
    </row>
    <row r="6" spans="1:14" s="136" customFormat="1" ht="14.25" x14ac:dyDescent="0.25">
      <c r="A6" s="160" t="s">
        <v>310</v>
      </c>
      <c r="B6" s="321">
        <f>'Einsatzstoffe Nr. 2.1'!H52</f>
        <v>0</v>
      </c>
      <c r="C6" s="321"/>
      <c r="D6" s="324">
        <f>'Anlage W Nr. 2.1'!I16</f>
        <v>0</v>
      </c>
      <c r="E6" s="321">
        <f>ROUND(B6*(1-D6),0)</f>
        <v>0</v>
      </c>
      <c r="F6" s="325">
        <f>'Anlage W Nr. 2.1'!I32</f>
        <v>0</v>
      </c>
      <c r="H6" s="137">
        <f>ROUND(E6*'CO2_Minderung_2.1'!B14*Wirtschaftlichkeitsberechnung!F6/100,0)</f>
        <v>0</v>
      </c>
      <c r="I6" s="158"/>
      <c r="J6" s="138"/>
      <c r="M6" s="238"/>
    </row>
    <row r="7" spans="1:14" s="136" customFormat="1" ht="14.25" x14ac:dyDescent="0.25">
      <c r="B7" s="145"/>
      <c r="C7" s="145"/>
      <c r="D7" s="146"/>
      <c r="E7" s="144"/>
      <c r="F7" s="144"/>
      <c r="G7" s="245"/>
      <c r="H7" s="246"/>
      <c r="I7" s="144"/>
      <c r="M7" s="238"/>
    </row>
    <row r="8" spans="1:14" s="136" customFormat="1" ht="14.25" x14ac:dyDescent="0.25">
      <c r="A8" s="143" t="s">
        <v>311</v>
      </c>
      <c r="B8" s="145"/>
      <c r="C8" s="145"/>
      <c r="D8" s="146"/>
      <c r="E8" s="144"/>
      <c r="F8" s="144"/>
      <c r="G8" s="245"/>
      <c r="H8" s="246"/>
      <c r="I8" s="144"/>
      <c r="K8" s="239"/>
      <c r="M8" s="238"/>
    </row>
    <row r="9" spans="1:14" s="136" customFormat="1" ht="14.25" x14ac:dyDescent="0.25">
      <c r="A9" s="136" t="s">
        <v>303</v>
      </c>
      <c r="B9" s="145"/>
      <c r="C9" s="145"/>
      <c r="D9" s="146"/>
      <c r="E9" s="144"/>
      <c r="F9" s="144"/>
      <c r="G9" s="245"/>
      <c r="H9" s="147"/>
      <c r="I9" s="144"/>
      <c r="K9" s="239"/>
      <c r="M9" s="238"/>
    </row>
    <row r="10" spans="1:14" s="136" customFormat="1" ht="27" x14ac:dyDescent="0.25">
      <c r="B10" s="604" t="s">
        <v>363</v>
      </c>
      <c r="C10" s="604"/>
      <c r="D10" s="148" t="s">
        <v>165</v>
      </c>
      <c r="E10" s="149" t="s">
        <v>166</v>
      </c>
      <c r="F10" s="149" t="s">
        <v>167</v>
      </c>
      <c r="G10" s="149" t="s">
        <v>168</v>
      </c>
      <c r="H10" s="149" t="s">
        <v>169</v>
      </c>
      <c r="I10" s="143" t="s">
        <v>170</v>
      </c>
      <c r="J10" s="136" t="s">
        <v>366</v>
      </c>
      <c r="K10" s="370" t="s">
        <v>343</v>
      </c>
      <c r="M10" s="238"/>
    </row>
    <row r="11" spans="1:14" s="136" customFormat="1" ht="14.25" x14ac:dyDescent="0.25">
      <c r="A11" s="395" t="str">
        <f>'Kostenplan Nr. 2.1'!A14</f>
        <v>Aufbereitungsanlage</v>
      </c>
      <c r="B11" s="150">
        <f>'Kostenplan Nr. 2.1'!B14</f>
        <v>0</v>
      </c>
      <c r="C11" s="150" t="e">
        <f>-ROUND(J11*'Kostenplan Nr. 2.1'!$C$49,0)</f>
        <v>#DIV/0!</v>
      </c>
      <c r="D11" s="416">
        <f>'Kostenplan Nr. 2.1'!D14</f>
        <v>15</v>
      </c>
      <c r="E11" s="415">
        <f>'Anlage W Nr. 2.1'!I30/100</f>
        <v>0</v>
      </c>
      <c r="F11" s="151" t="e">
        <f>ROUND((((E11+1))^D11*E11)/(((E11+1)^D11)-1),3)</f>
        <v>#DIV/0!</v>
      </c>
      <c r="G11" s="137" t="e">
        <f>ROUND(F11*(B11+C11),0)</f>
        <v>#DIV/0!</v>
      </c>
      <c r="H11" s="137">
        <f>ROUND(B11/D11,0)</f>
        <v>0</v>
      </c>
      <c r="I11" s="137">
        <f>ROUND(B11*(E11/1.75),0)</f>
        <v>0</v>
      </c>
      <c r="J11" s="326" t="e">
        <f>ROUND(B11/$B$19,3)</f>
        <v>#DIV/0!</v>
      </c>
      <c r="K11" s="371">
        <v>15</v>
      </c>
      <c r="M11" s="240"/>
    </row>
    <row r="12" spans="1:14" s="136" customFormat="1" ht="28.5" x14ac:dyDescent="0.25">
      <c r="A12" s="395" t="str">
        <f>'Kostenplan Nr. 2.1'!A24</f>
        <v>Einhausung Containerlösung</v>
      </c>
      <c r="B12" s="150">
        <f>'Kostenplan Nr. 2.1'!B24</f>
        <v>0</v>
      </c>
      <c r="C12" s="150" t="e">
        <f>-ROUND(J12*'Kostenplan Nr. 2.1'!$C$49,0)</f>
        <v>#DIV/0!</v>
      </c>
      <c r="D12" s="416">
        <f>'Kostenplan Nr. 2.1'!D24</f>
        <v>10</v>
      </c>
      <c r="E12" s="415">
        <f>E11</f>
        <v>0</v>
      </c>
      <c r="F12" s="151" t="e">
        <f t="shared" ref="F12:F13" si="0">ROUND((((E12+1))^D12*E12)/(((E12+1)^D12)-1),3)</f>
        <v>#DIV/0!</v>
      </c>
      <c r="G12" s="137" t="e">
        <f t="shared" ref="G12:G18" si="1">ROUND(F12*(B12+C12),0)</f>
        <v>#DIV/0!</v>
      </c>
      <c r="H12" s="137">
        <f t="shared" ref="H12:H13" si="2">ROUND(B12/D12,0)</f>
        <v>0</v>
      </c>
      <c r="I12" s="137">
        <f t="shared" ref="I12:I13" si="3">ROUND(B12*(E12/1.75),0)</f>
        <v>0</v>
      </c>
      <c r="J12" s="326" t="e">
        <f t="shared" ref="J12:J18" si="4">ROUND(B12/$B$19,3)</f>
        <v>#DIV/0!</v>
      </c>
      <c r="K12" s="371">
        <v>10</v>
      </c>
      <c r="M12" s="238"/>
    </row>
    <row r="13" spans="1:14" s="136" customFormat="1" ht="14.25" x14ac:dyDescent="0.25">
      <c r="A13" s="395" t="str">
        <f>'Kostenplan Nr. 2.1'!A25</f>
        <v>oder Einhausung Bauwerk</v>
      </c>
      <c r="B13" s="150">
        <f>'Kostenplan Nr. 2.1'!B25</f>
        <v>0</v>
      </c>
      <c r="C13" s="150" t="e">
        <f>-ROUND(J13*'Kostenplan Nr. 2.1'!$C$49,0)</f>
        <v>#DIV/0!</v>
      </c>
      <c r="D13" s="416">
        <f>'Kostenplan Nr. 2.1'!D25</f>
        <v>30</v>
      </c>
      <c r="E13" s="415">
        <f t="shared" ref="E13:E17" si="5">E12</f>
        <v>0</v>
      </c>
      <c r="F13" s="151" t="e">
        <f t="shared" si="0"/>
        <v>#DIV/0!</v>
      </c>
      <c r="G13" s="137" t="e">
        <f t="shared" si="1"/>
        <v>#DIV/0!</v>
      </c>
      <c r="H13" s="137">
        <f t="shared" si="2"/>
        <v>0</v>
      </c>
      <c r="I13" s="137">
        <f t="shared" si="3"/>
        <v>0</v>
      </c>
      <c r="J13" s="326" t="e">
        <f t="shared" si="4"/>
        <v>#DIV/0!</v>
      </c>
      <c r="K13" s="371">
        <v>50</v>
      </c>
      <c r="M13" s="238"/>
    </row>
    <row r="14" spans="1:14" s="136" customFormat="1" ht="42.75" x14ac:dyDescent="0.25">
      <c r="A14" s="395" t="str">
        <f>'Kostenplan Nr. 2.1'!A15</f>
        <v>Übergabestation (ÜS) mit Gasbeschaffenheitsmessung</v>
      </c>
      <c r="B14" s="150">
        <f>'Kostenplan Nr. 2.1'!B15</f>
        <v>0</v>
      </c>
      <c r="C14" s="150" t="e">
        <f>-ROUND(J14*'Kostenplan Nr. 2.1'!$C$49,0)</f>
        <v>#DIV/0!</v>
      </c>
      <c r="D14" s="416">
        <f>'Kostenplan Nr. 2.1'!D15</f>
        <v>9</v>
      </c>
      <c r="E14" s="415">
        <f t="shared" si="5"/>
        <v>0</v>
      </c>
      <c r="F14" s="151" t="e">
        <f t="shared" ref="F14:F22" si="6">ROUND((((E14+1))^D14*E14)/(((E14+1)^D14)-1),3)</f>
        <v>#DIV/0!</v>
      </c>
      <c r="G14" s="137" t="e">
        <f t="shared" si="1"/>
        <v>#DIV/0!</v>
      </c>
      <c r="H14" s="137">
        <f t="shared" ref="H14:H22" si="7">ROUND(B14/D14,0)</f>
        <v>0</v>
      </c>
      <c r="I14" s="137">
        <f t="shared" ref="I14:I22" si="8">ROUND(B14*(E14/1.75),0)</f>
        <v>0</v>
      </c>
      <c r="J14" s="326" t="e">
        <f t="shared" si="4"/>
        <v>#DIV/0!</v>
      </c>
      <c r="K14" s="371">
        <v>9</v>
      </c>
      <c r="M14" s="238"/>
    </row>
    <row r="15" spans="1:14" s="136" customFormat="1" ht="42.75" x14ac:dyDescent="0.25">
      <c r="A15" s="395" t="str">
        <f>'Kostenplan Nr. 2.1'!A16</f>
        <v>Feinentschwefelung, sofern nicht in ÜS enthalten</v>
      </c>
      <c r="B15" s="150">
        <f>'Kostenplan Nr. 2.1'!B16</f>
        <v>0</v>
      </c>
      <c r="C15" s="150" t="e">
        <f>-ROUND(J15*'Kostenplan Nr. 2.1'!$C$49,0)</f>
        <v>#DIV/0!</v>
      </c>
      <c r="D15" s="416">
        <f>'Kostenplan Nr. 2.1'!D16</f>
        <v>10</v>
      </c>
      <c r="E15" s="415">
        <f t="shared" si="5"/>
        <v>0</v>
      </c>
      <c r="F15" s="151" t="e">
        <f t="shared" si="6"/>
        <v>#DIV/0!</v>
      </c>
      <c r="G15" s="137" t="e">
        <f t="shared" si="1"/>
        <v>#DIV/0!</v>
      </c>
      <c r="H15" s="137">
        <f t="shared" si="7"/>
        <v>0</v>
      </c>
      <c r="I15" s="137">
        <f t="shared" si="8"/>
        <v>0</v>
      </c>
      <c r="J15" s="326" t="e">
        <f t="shared" si="4"/>
        <v>#DIV/0!</v>
      </c>
      <c r="K15" s="371">
        <v>10</v>
      </c>
      <c r="M15" s="238"/>
    </row>
    <row r="16" spans="1:14" s="136" customFormat="1" ht="42.75" x14ac:dyDescent="0.25">
      <c r="A16" s="395" t="str">
        <f>'Kostenplan Nr. 2.1'!A17</f>
        <v>Konditionierung inklusive Gastrocknung, sofern nicht in ÜS enthalten</v>
      </c>
      <c r="B16" s="150">
        <f>'Kostenplan Nr. 2.1'!B17</f>
        <v>0</v>
      </c>
      <c r="C16" s="150" t="e">
        <f>-ROUND(J16*'Kostenplan Nr. 2.1'!$C$49,0)</f>
        <v>#DIV/0!</v>
      </c>
      <c r="D16" s="416">
        <f>'Kostenplan Nr. 2.1'!D17</f>
        <v>10</v>
      </c>
      <c r="E16" s="415">
        <f t="shared" si="5"/>
        <v>0</v>
      </c>
      <c r="F16" s="151" t="e">
        <f t="shared" si="6"/>
        <v>#DIV/0!</v>
      </c>
      <c r="G16" s="137" t="e">
        <f t="shared" si="1"/>
        <v>#DIV/0!</v>
      </c>
      <c r="H16" s="137">
        <f t="shared" si="7"/>
        <v>0</v>
      </c>
      <c r="I16" s="137">
        <f t="shared" si="8"/>
        <v>0</v>
      </c>
      <c r="J16" s="326" t="e">
        <f t="shared" si="4"/>
        <v>#DIV/0!</v>
      </c>
      <c r="K16" s="371">
        <v>10</v>
      </c>
      <c r="L16" s="138"/>
      <c r="M16" s="290"/>
      <c r="N16" s="138"/>
    </row>
    <row r="17" spans="1:14" s="136" customFormat="1" ht="28.5" x14ac:dyDescent="0.25">
      <c r="A17" s="244" t="str">
        <f>'Kostenplan Nr. 2.1'!A18</f>
        <v>Kompression, sofern nicht in ÜS enthalten</v>
      </c>
      <c r="B17" s="150">
        <f>'Kostenplan Nr. 2.1'!B18</f>
        <v>0</v>
      </c>
      <c r="C17" s="150" t="e">
        <f>-ROUND(J17*'Kostenplan Nr. 2.1'!$C$49,0)</f>
        <v>#DIV/0!</v>
      </c>
      <c r="D17" s="416">
        <f>'Kostenplan Nr. 2.1'!D18</f>
        <v>10</v>
      </c>
      <c r="E17" s="415">
        <f t="shared" si="5"/>
        <v>0</v>
      </c>
      <c r="F17" s="241" t="e">
        <f t="shared" ref="F17:F21" si="9">ROUND((((E17+1))^D17*E17)/(((E17+1)^D17)-1),3)</f>
        <v>#DIV/0!</v>
      </c>
      <c r="G17" s="137" t="e">
        <f t="shared" si="1"/>
        <v>#DIV/0!</v>
      </c>
      <c r="H17" s="242">
        <f>ROUND(B17/D17,0)</f>
        <v>0</v>
      </c>
      <c r="I17" s="242">
        <f>ROUND(B17*(E17/1.75),0)</f>
        <v>0</v>
      </c>
      <c r="J17" s="326" t="e">
        <f t="shared" si="4"/>
        <v>#DIV/0!</v>
      </c>
      <c r="K17" s="371">
        <v>10</v>
      </c>
      <c r="L17" s="138"/>
      <c r="M17" s="290"/>
      <c r="N17" s="138"/>
    </row>
    <row r="18" spans="1:14" s="136" customFormat="1" ht="14.25" x14ac:dyDescent="0.25">
      <c r="A18" s="424" t="str">
        <f>'Kostenplan Nr. 2.1'!A29</f>
        <v>Planung</v>
      </c>
      <c r="B18" s="240">
        <f>'Kostenplan Nr. 2.1'!B30</f>
        <v>0</v>
      </c>
      <c r="C18" s="150" t="e">
        <f>-ROUND(J18*'Kostenplan Nr. 2.1'!$C$49,0)</f>
        <v>#DIV/0!</v>
      </c>
      <c r="D18" s="417">
        <f>'Kostenplan Nr. 2.1'!D30</f>
        <v>20</v>
      </c>
      <c r="E18" s="241">
        <f>E17</f>
        <v>0</v>
      </c>
      <c r="F18" s="241" t="e">
        <f t="shared" si="9"/>
        <v>#DIV/0!</v>
      </c>
      <c r="G18" s="137" t="e">
        <f t="shared" si="1"/>
        <v>#DIV/0!</v>
      </c>
      <c r="H18" s="242">
        <f>ROUND(B18/D18,0)</f>
        <v>0</v>
      </c>
      <c r="I18" s="242">
        <f>ROUND(B18*(E18/1.75),0)</f>
        <v>0</v>
      </c>
      <c r="J18" s="326" t="e">
        <f t="shared" si="4"/>
        <v>#DIV/0!</v>
      </c>
      <c r="K18" s="372">
        <v>20</v>
      </c>
      <c r="L18" s="138"/>
      <c r="M18" s="290"/>
      <c r="N18" s="138"/>
    </row>
    <row r="19" spans="1:14" s="136" customFormat="1" ht="14.25" x14ac:dyDescent="0.25">
      <c r="A19" s="425" t="s">
        <v>345</v>
      </c>
      <c r="B19" s="426">
        <f>SUM(B11:B18)</f>
        <v>0</v>
      </c>
      <c r="C19" s="426" t="e">
        <f>SUM(C11:C18)</f>
        <v>#DIV/0!</v>
      </c>
      <c r="D19" s="427"/>
      <c r="E19" s="428"/>
      <c r="F19" s="429"/>
      <c r="G19" s="430"/>
      <c r="H19" s="430"/>
      <c r="I19" s="430"/>
      <c r="J19" s="422" t="e">
        <f>SUM(J11:J18)</f>
        <v>#DIV/0!</v>
      </c>
      <c r="K19" s="371"/>
      <c r="L19" s="138"/>
      <c r="M19" s="290"/>
      <c r="N19" s="138"/>
    </row>
    <row r="20" spans="1:14" s="136" customFormat="1" ht="14.25" x14ac:dyDescent="0.25">
      <c r="A20" s="378"/>
      <c r="B20" s="379"/>
      <c r="C20" s="379"/>
      <c r="D20" s="417"/>
      <c r="E20" s="419"/>
      <c r="F20" s="241"/>
      <c r="G20" s="242"/>
      <c r="H20" s="242"/>
      <c r="I20" s="242"/>
      <c r="K20" s="371"/>
      <c r="L20" s="138"/>
      <c r="M20" s="290"/>
      <c r="N20" s="138"/>
    </row>
    <row r="21" spans="1:14" s="136" customFormat="1" ht="42.75" x14ac:dyDescent="0.25">
      <c r="A21" s="395" t="str">
        <f>'Kostenplan Nr. 2.1'!A38</f>
        <v>Kosten für Machbarkeitsstudien, behördliche Gebühren</v>
      </c>
      <c r="B21" s="240">
        <f>'Kostenplan Nr. 2.1'!B38</f>
        <v>0</v>
      </c>
      <c r="C21" s="240"/>
      <c r="D21" s="417">
        <f>D13</f>
        <v>30</v>
      </c>
      <c r="E21" s="419">
        <f>E18</f>
        <v>0</v>
      </c>
      <c r="F21" s="241" t="e">
        <f t="shared" si="9"/>
        <v>#DIV/0!</v>
      </c>
      <c r="G21" s="242" t="e">
        <f t="shared" ref="G21" si="10">ROUND(F21*B21,0)</f>
        <v>#DIV/0!</v>
      </c>
      <c r="H21" s="242">
        <f t="shared" ref="H21" si="11">ROUND(B21/D21,0)</f>
        <v>0</v>
      </c>
      <c r="I21" s="242">
        <f t="shared" ref="I21" si="12">ROUND(B21*(E21/1.75),0)</f>
        <v>0</v>
      </c>
      <c r="K21" s="371">
        <v>10</v>
      </c>
      <c r="L21" s="138"/>
      <c r="M21" s="290"/>
      <c r="N21" s="138"/>
    </row>
    <row r="22" spans="1:14" s="138" customFormat="1" ht="29.25" thickBot="1" x14ac:dyDescent="0.3">
      <c r="A22" s="396" t="str">
        <f>LEFT('Kostenplan Nr. 2.1'!A39,38)</f>
        <v>Sonstige nicht zuwendungsfähige Kosten</v>
      </c>
      <c r="B22" s="152">
        <f>'Kostenplan Nr. 2.1'!B39</f>
        <v>0</v>
      </c>
      <c r="C22" s="152"/>
      <c r="D22" s="423">
        <f>D21</f>
        <v>30</v>
      </c>
      <c r="E22" s="420">
        <f>E21</f>
        <v>0</v>
      </c>
      <c r="F22" s="153" t="e">
        <f t="shared" si="6"/>
        <v>#DIV/0!</v>
      </c>
      <c r="G22" s="154" t="e">
        <f>ROUND(F22*B22,0)</f>
        <v>#DIV/0!</v>
      </c>
      <c r="H22" s="154">
        <f t="shared" si="7"/>
        <v>0</v>
      </c>
      <c r="I22" s="154">
        <f t="shared" si="8"/>
        <v>0</v>
      </c>
      <c r="J22" s="155"/>
      <c r="K22" s="372">
        <v>10</v>
      </c>
      <c r="M22" s="290"/>
    </row>
    <row r="23" spans="1:14" s="138" customFormat="1" ht="11.65" customHeight="1" thickTop="1" x14ac:dyDescent="0.25">
      <c r="A23" s="135" t="s">
        <v>156</v>
      </c>
      <c r="B23" s="156" t="e">
        <f>SUM(B19+C19+B21+B22)</f>
        <v>#DIV/0!</v>
      </c>
      <c r="C23" s="156"/>
      <c r="D23" s="157"/>
      <c r="E23" s="146"/>
      <c r="F23" s="136"/>
      <c r="G23" s="137" t="e">
        <f>SUM(G11:G22)</f>
        <v>#DIV/0!</v>
      </c>
      <c r="H23" s="137">
        <f>SUM(H11:H22)</f>
        <v>0</v>
      </c>
      <c r="I23" s="137">
        <f>SUM(I11:I22)</f>
        <v>0</v>
      </c>
      <c r="J23" s="155"/>
      <c r="K23" s="306"/>
      <c r="M23" s="290"/>
    </row>
    <row r="24" spans="1:14" s="138" customFormat="1" ht="11.65" customHeight="1" x14ac:dyDescent="0.25">
      <c r="B24" s="159"/>
      <c r="C24" s="159"/>
      <c r="D24" s="155"/>
      <c r="E24" s="155"/>
      <c r="F24" s="156"/>
      <c r="G24" s="155"/>
      <c r="H24" s="155"/>
      <c r="K24" s="307"/>
      <c r="M24" s="243"/>
    </row>
    <row r="25" spans="1:14" s="136" customFormat="1" ht="14.25" x14ac:dyDescent="0.25">
      <c r="A25" s="167" t="s">
        <v>172</v>
      </c>
      <c r="E25" s="136" t="s">
        <v>367</v>
      </c>
      <c r="I25" s="259"/>
      <c r="K25" s="373" t="s">
        <v>343</v>
      </c>
      <c r="M25" s="238"/>
    </row>
    <row r="26" spans="1:14" s="136" customFormat="1" ht="14.25" x14ac:dyDescent="0.25">
      <c r="A26" s="410" t="str">
        <f t="shared" ref="A26:A32" si="13">A11</f>
        <v>Aufbereitungsanlage</v>
      </c>
      <c r="B26" s="167"/>
      <c r="C26" s="167"/>
      <c r="D26" s="150">
        <f t="shared" ref="D26:D32" si="14">B11</f>
        <v>0</v>
      </c>
      <c r="E26" s="415">
        <f>'Kostenplan Nr. 2.1'!E14</f>
        <v>0.04</v>
      </c>
      <c r="H26" s="137">
        <f>ROUND(D26*E26,0)</f>
        <v>0</v>
      </c>
      <c r="I26" s="261"/>
      <c r="K26" s="374">
        <v>0.04</v>
      </c>
      <c r="L26" s="168"/>
      <c r="M26" s="238"/>
    </row>
    <row r="27" spans="1:14" s="136" customFormat="1" ht="28.5" x14ac:dyDescent="0.25">
      <c r="A27" s="410" t="str">
        <f t="shared" si="13"/>
        <v>Einhausung Containerlösung</v>
      </c>
      <c r="B27" s="167"/>
      <c r="C27" s="167"/>
      <c r="D27" s="150">
        <f t="shared" si="14"/>
        <v>0</v>
      </c>
      <c r="E27" s="415">
        <f>'Kostenplan Nr. 2.1'!E24</f>
        <v>0.01</v>
      </c>
      <c r="H27" s="137"/>
      <c r="I27" s="261"/>
      <c r="K27" s="374">
        <v>0.01</v>
      </c>
      <c r="L27" s="168"/>
      <c r="M27" s="238"/>
    </row>
    <row r="28" spans="1:14" s="136" customFormat="1" ht="14.25" x14ac:dyDescent="0.25">
      <c r="A28" s="410" t="str">
        <f t="shared" si="13"/>
        <v>oder Einhausung Bauwerk</v>
      </c>
      <c r="B28" s="167"/>
      <c r="C28" s="167"/>
      <c r="D28" s="150">
        <f t="shared" si="14"/>
        <v>0</v>
      </c>
      <c r="E28" s="415">
        <f>'Kostenplan Nr. 2.1'!E25</f>
        <v>0.01</v>
      </c>
      <c r="H28" s="137"/>
      <c r="I28" s="261"/>
      <c r="K28" s="374">
        <v>0.01</v>
      </c>
      <c r="L28" s="168"/>
      <c r="M28" s="238"/>
    </row>
    <row r="29" spans="1:14" s="136" customFormat="1" ht="42.75" x14ac:dyDescent="0.25">
      <c r="A29" s="410" t="str">
        <f t="shared" si="13"/>
        <v>Übergabestation (ÜS) mit Gasbeschaffenheitsmessung</v>
      </c>
      <c r="D29" s="150">
        <f t="shared" si="14"/>
        <v>0</v>
      </c>
      <c r="E29" s="415">
        <f>'Kostenplan Nr. 2.1'!E15</f>
        <v>0.04</v>
      </c>
      <c r="H29" s="137">
        <f t="shared" ref="H29:H33" si="15">ROUND(D29*E29,0)</f>
        <v>0</v>
      </c>
      <c r="I29" s="261"/>
      <c r="K29" s="374">
        <v>0.04</v>
      </c>
      <c r="M29" s="238"/>
    </row>
    <row r="30" spans="1:14" s="136" customFormat="1" ht="42.75" x14ac:dyDescent="0.25">
      <c r="A30" s="410" t="str">
        <f t="shared" si="13"/>
        <v>Feinentschwefelung, sofern nicht in ÜS enthalten</v>
      </c>
      <c r="D30" s="150">
        <f t="shared" si="14"/>
        <v>0</v>
      </c>
      <c r="E30" s="415">
        <f>'Kostenplan Nr. 2.1'!E16</f>
        <v>0.04</v>
      </c>
      <c r="H30" s="137">
        <f t="shared" si="15"/>
        <v>0</v>
      </c>
      <c r="I30" s="261"/>
      <c r="K30" s="374">
        <v>0.04</v>
      </c>
      <c r="M30" s="238"/>
    </row>
    <row r="31" spans="1:14" s="136" customFormat="1" ht="42.75" x14ac:dyDescent="0.25">
      <c r="A31" s="410" t="str">
        <f t="shared" si="13"/>
        <v>Konditionierung inklusive Gastrocknung, sofern nicht in ÜS enthalten</v>
      </c>
      <c r="D31" s="150">
        <f t="shared" si="14"/>
        <v>0</v>
      </c>
      <c r="E31" s="415">
        <f>'Kostenplan Nr. 2.1'!E17</f>
        <v>0.04</v>
      </c>
      <c r="H31" s="137">
        <f t="shared" si="15"/>
        <v>0</v>
      </c>
      <c r="I31" s="259"/>
      <c r="K31" s="374">
        <v>0.04</v>
      </c>
      <c r="M31" s="238"/>
    </row>
    <row r="32" spans="1:14" s="136" customFormat="1" ht="28.5" x14ac:dyDescent="0.25">
      <c r="A32" s="410" t="str">
        <f t="shared" si="13"/>
        <v>Kompression, sofern nicht in ÜS enthalten</v>
      </c>
      <c r="D32" s="150">
        <f t="shared" si="14"/>
        <v>0</v>
      </c>
      <c r="E32" s="415">
        <f>'Kostenplan Nr. 2.1'!E18</f>
        <v>0.04</v>
      </c>
      <c r="H32" s="137">
        <f t="shared" si="15"/>
        <v>0</v>
      </c>
      <c r="I32" s="261"/>
      <c r="K32" s="374">
        <v>0.04</v>
      </c>
      <c r="M32" s="238"/>
    </row>
    <row r="33" spans="1:13" s="136" customFormat="1" ht="28.5" x14ac:dyDescent="0.25">
      <c r="A33" s="410" t="str">
        <f>A22</f>
        <v>Sonstige nicht zuwendungsfähige Kosten</v>
      </c>
      <c r="D33" s="150">
        <f>B22</f>
        <v>0</v>
      </c>
      <c r="E33" s="415">
        <f>'Kostenplan Nr. 2.1'!E39</f>
        <v>0.01</v>
      </c>
      <c r="H33" s="137">
        <f t="shared" si="15"/>
        <v>0</v>
      </c>
      <c r="I33" s="261"/>
      <c r="K33" s="375">
        <v>0</v>
      </c>
      <c r="M33" s="238"/>
    </row>
    <row r="34" spans="1:13" s="136" customFormat="1" ht="13.9" customHeight="1" x14ac:dyDescent="0.25">
      <c r="A34" s="410"/>
      <c r="E34" s="259"/>
      <c r="H34" s="137"/>
      <c r="I34" s="261"/>
      <c r="M34" s="238"/>
    </row>
    <row r="35" spans="1:13" s="136" customFormat="1" ht="28.5" x14ac:dyDescent="0.25">
      <c r="A35" s="410" t="s">
        <v>173</v>
      </c>
      <c r="B35" s="418"/>
      <c r="D35" s="432">
        <f>'Anlage W Nr. 2.1'!I21</f>
        <v>0</v>
      </c>
      <c r="E35" s="431" t="e">
        <f>H35/D35</f>
        <v>#DIV/0!</v>
      </c>
      <c r="F35" s="140"/>
      <c r="G35" s="169"/>
      <c r="H35" s="137">
        <f>'Anlage W Nr. 2.1'!I41</f>
        <v>0</v>
      </c>
      <c r="I35" s="261"/>
      <c r="L35" s="170"/>
      <c r="M35" s="238"/>
    </row>
    <row r="36" spans="1:13" s="136" customFormat="1" ht="14.25" x14ac:dyDescent="0.25">
      <c r="D36" s="140"/>
      <c r="E36" s="305"/>
      <c r="F36" s="140"/>
      <c r="G36" s="169"/>
      <c r="H36" s="137"/>
      <c r="I36" s="261"/>
      <c r="L36" s="308"/>
      <c r="M36" s="238"/>
    </row>
    <row r="37" spans="1:13" s="136" customFormat="1" ht="14.25" x14ac:dyDescent="0.25">
      <c r="A37" s="167" t="s">
        <v>327</v>
      </c>
      <c r="H37" s="137"/>
      <c r="I37" s="259"/>
      <c r="L37" s="308"/>
      <c r="M37" s="238"/>
    </row>
    <row r="38" spans="1:13" s="136" customFormat="1" ht="14.25" x14ac:dyDescent="0.25">
      <c r="A38" s="136" t="str">
        <f>'Anlage W Nr. 2.1'!C31</f>
        <v>Bezugspreis Rohbiogas</v>
      </c>
      <c r="B38" s="258">
        <f>'Einsatzstoffe Nr. 2.1'!G52</f>
        <v>0</v>
      </c>
      <c r="C38" s="258"/>
      <c r="D38" s="326" t="str">
        <f>'Einsatzstoffe Nr. 2.1'!F52</f>
        <v/>
      </c>
      <c r="E38" s="327">
        <f>'CO2_Minderung_2.1'!B14</f>
        <v>9.9700000000000006</v>
      </c>
      <c r="F38" s="328" t="e">
        <f>ROUND(B38*D38*E38,0)</f>
        <v>#VALUE!</v>
      </c>
      <c r="G38" s="325">
        <f>'Anlage W Nr. 2.1'!I31</f>
        <v>0</v>
      </c>
      <c r="H38" s="137" t="e">
        <f>ROUND(F38*G38/100,0)</f>
        <v>#VALUE!</v>
      </c>
      <c r="I38" s="261"/>
      <c r="L38" s="308"/>
      <c r="M38" s="238"/>
    </row>
    <row r="39" spans="1:13" s="136" customFormat="1" ht="14.25" customHeight="1" x14ac:dyDescent="0.3">
      <c r="A39" s="172" t="str">
        <f>'Anlage W Nr. 2.1'!C17</f>
        <v>Strombedarf Aufbereitung</v>
      </c>
      <c r="B39" s="144">
        <f>ROUND('Anlage W Nr. 2.1'!I17*'Einsatzstoffe Nr. 2.1'!G52,0)</f>
        <v>0</v>
      </c>
      <c r="C39" s="144"/>
      <c r="E39" s="259"/>
      <c r="F39" s="260"/>
      <c r="G39" s="433">
        <f>'Anlage W Nr. 2.1'!I33</f>
        <v>0</v>
      </c>
      <c r="H39" s="137">
        <f>ROUND(B39*G39,0)</f>
        <v>0</v>
      </c>
      <c r="I39" s="261"/>
      <c r="L39" s="259"/>
      <c r="M39" s="238"/>
    </row>
    <row r="40" spans="1:13" s="136" customFormat="1" ht="14.25" customHeight="1" x14ac:dyDescent="0.3">
      <c r="A40" s="172" t="str">
        <f>'Anlage W Nr. 2.1'!C18</f>
        <v>Wärmebedarf Aufbereitung</v>
      </c>
      <c r="B40" s="171">
        <f>ROUND('Anlage W Nr. 2.1'!I18*'Einsatzstoffe Nr. 2.1'!G52,0)</f>
        <v>0</v>
      </c>
      <c r="C40" s="171"/>
      <c r="E40" s="259"/>
      <c r="F40" s="260"/>
      <c r="G40" s="434">
        <f>'Anlage W Nr. 2.1'!I34</f>
        <v>0</v>
      </c>
      <c r="H40" s="137">
        <f>ROUND(B40*G40,0)</f>
        <v>0</v>
      </c>
      <c r="I40" s="261"/>
      <c r="L40" s="259"/>
      <c r="M40" s="238"/>
    </row>
    <row r="41" spans="1:13" s="136" customFormat="1" ht="14.25" customHeight="1" x14ac:dyDescent="0.3">
      <c r="A41" s="172" t="str">
        <f>'Anlage W Nr. 2.1'!C40</f>
        <v/>
      </c>
      <c r="B41" s="171"/>
      <c r="C41" s="171"/>
      <c r="D41" s="136" t="e">
        <f>H41/F41</f>
        <v>#DIV/0!</v>
      </c>
      <c r="E41" s="259"/>
      <c r="F41" s="435">
        <f>'Anlage W Nr. 2.1'!I20</f>
        <v>0</v>
      </c>
      <c r="G41" s="434">
        <f>'Anlage W Nr. 2.1'!J20</f>
        <v>0</v>
      </c>
      <c r="H41" s="137">
        <f>'Anlage W Nr. 2.1'!I40</f>
        <v>0</v>
      </c>
      <c r="I41" s="261"/>
      <c r="L41" s="259"/>
      <c r="M41" s="238"/>
    </row>
    <row r="42" spans="1:13" s="136" customFormat="1" ht="14.25" customHeight="1" x14ac:dyDescent="0.3">
      <c r="A42" s="172" t="str">
        <f>'Anlage W Nr. 2.1'!C42</f>
        <v/>
      </c>
      <c r="B42" s="171"/>
      <c r="C42" s="171"/>
      <c r="E42" s="259"/>
      <c r="F42" s="260"/>
      <c r="G42" s="434"/>
      <c r="H42" s="137">
        <f>'Anlage W Nr. 2.1'!I42</f>
        <v>0</v>
      </c>
      <c r="I42" s="261"/>
      <c r="L42" s="259"/>
      <c r="M42" s="238"/>
    </row>
    <row r="43" spans="1:13" s="136" customFormat="1" ht="12.75" customHeight="1" x14ac:dyDescent="0.3">
      <c r="A43" s="172" t="str">
        <f>'Anlage W Nr. 2.1'!C43</f>
        <v/>
      </c>
      <c r="B43" s="163"/>
      <c r="C43" s="163"/>
      <c r="D43" s="163"/>
      <c r="E43" s="163"/>
      <c r="G43" s="173"/>
      <c r="H43" s="137">
        <f>'Anlage W Nr. 2.1'!I43</f>
        <v>0</v>
      </c>
      <c r="I43" s="261"/>
      <c r="M43" s="238"/>
    </row>
    <row r="44" spans="1:13" s="136" customFormat="1" ht="14.25" x14ac:dyDescent="0.25">
      <c r="A44" s="136" t="s">
        <v>174</v>
      </c>
      <c r="D44" s="150" t="e">
        <f>B23-C19</f>
        <v>#DIV/0!</v>
      </c>
      <c r="E44" s="419" t="e">
        <f>H44/D44</f>
        <v>#DIV/0!</v>
      </c>
      <c r="H44" s="137">
        <f>'Anlage W Nr. 2.1'!I36</f>
        <v>0</v>
      </c>
      <c r="I44" s="261"/>
      <c r="M44" s="238"/>
    </row>
    <row r="45" spans="1:13" s="136" customFormat="1" ht="14.25" x14ac:dyDescent="0.25">
      <c r="A45" s="136" t="str" cm="1">
        <f t="array" ref="A45">'Anlage W Nr. 2.1'!C40:C40</f>
        <v/>
      </c>
      <c r="D45" s="150"/>
      <c r="E45" s="419"/>
      <c r="H45" s="137">
        <f>'Anlage W Nr. 2.1'!I40</f>
        <v>0</v>
      </c>
      <c r="I45" s="261"/>
      <c r="M45" s="238"/>
    </row>
    <row r="46" spans="1:13" s="136" customFormat="1" ht="14.25" x14ac:dyDescent="0.25">
      <c r="A46" s="136" t="str" cm="1">
        <f t="array" ref="A46">'Anlage W Nr. 2.1'!C42:C42</f>
        <v/>
      </c>
      <c r="D46" s="150"/>
      <c r="E46" s="419"/>
      <c r="H46" s="137">
        <f>'Anlage W Nr. 2.1'!I42</f>
        <v>0</v>
      </c>
      <c r="I46" s="261"/>
      <c r="M46" s="238"/>
    </row>
    <row r="47" spans="1:13" s="136" customFormat="1" ht="14.25" x14ac:dyDescent="0.25">
      <c r="A47" s="136" t="str" cm="1">
        <f t="array" ref="A47">'Anlage W Nr. 2.1'!C43:C43</f>
        <v/>
      </c>
      <c r="D47" s="150"/>
      <c r="E47" s="419"/>
      <c r="H47" s="137">
        <f>'Anlage W Nr. 2.1'!I43</f>
        <v>0</v>
      </c>
      <c r="I47" s="261"/>
      <c r="M47" s="238"/>
    </row>
    <row r="48" spans="1:13" s="136" customFormat="1" thickBot="1" x14ac:dyDescent="0.3">
      <c r="A48" s="136" t="str">
        <f>'Anlage W Nr. 2.1'!C38</f>
        <v>sonstige Kosten (Verwaltung, Labor, Gutachten)</v>
      </c>
      <c r="B48" s="150"/>
      <c r="C48" s="150"/>
      <c r="D48" s="150"/>
      <c r="E48" s="150"/>
      <c r="H48" s="137">
        <f>'Anlage W Nr. 2.1'!I38</f>
        <v>0</v>
      </c>
      <c r="I48" s="261"/>
      <c r="M48" s="238"/>
    </row>
    <row r="49" spans="1:17" s="136" customFormat="1" thickTop="1" x14ac:dyDescent="0.25">
      <c r="A49" s="174" t="s">
        <v>175</v>
      </c>
      <c r="B49" s="174"/>
      <c r="C49" s="174"/>
      <c r="D49" s="174"/>
      <c r="E49" s="174"/>
      <c r="F49" s="174"/>
      <c r="G49" s="318"/>
      <c r="H49" s="319" t="e">
        <f>SUM(H26:H48)</f>
        <v>#VALUE!</v>
      </c>
      <c r="I49" s="320"/>
      <c r="J49" s="259"/>
      <c r="M49" s="238"/>
      <c r="N49" s="142"/>
      <c r="O49" s="142"/>
      <c r="P49" s="142"/>
      <c r="Q49" s="142"/>
    </row>
    <row r="50" spans="1:17" s="142" customFormat="1" ht="14.25" x14ac:dyDescent="0.25">
      <c r="H50" s="164"/>
      <c r="M50" s="291"/>
      <c r="N50" s="136"/>
      <c r="O50" s="136"/>
      <c r="P50" s="136"/>
      <c r="Q50" s="136"/>
    </row>
    <row r="51" spans="1:17" s="136" customFormat="1" ht="14.25" x14ac:dyDescent="0.25">
      <c r="A51" s="175" t="s">
        <v>176</v>
      </c>
      <c r="B51" s="135"/>
      <c r="C51" s="135"/>
      <c r="D51" s="135"/>
      <c r="E51" s="135"/>
      <c r="F51" s="135"/>
      <c r="G51" s="135"/>
      <c r="H51" s="135"/>
      <c r="I51" s="238"/>
      <c r="J51" s="238"/>
      <c r="M51" s="238"/>
    </row>
    <row r="52" spans="1:17" s="136" customFormat="1" ht="14.25" x14ac:dyDescent="0.25">
      <c r="A52" s="175" t="s">
        <v>311</v>
      </c>
      <c r="B52" s="135"/>
      <c r="C52" s="135"/>
      <c r="D52" s="135"/>
      <c r="E52" s="135"/>
      <c r="F52" s="135"/>
      <c r="G52" s="135"/>
      <c r="H52" s="135"/>
      <c r="I52" s="238"/>
      <c r="J52" s="238"/>
      <c r="M52" s="238"/>
    </row>
    <row r="53" spans="1:17" s="136" customFormat="1" ht="14.25" x14ac:dyDescent="0.25">
      <c r="A53" s="136" t="str">
        <f>A9</f>
        <v>Kapitalkosten</v>
      </c>
      <c r="B53" s="135"/>
      <c r="C53" s="135"/>
      <c r="D53" s="135"/>
      <c r="E53" s="135"/>
      <c r="F53" s="135"/>
      <c r="G53" s="135"/>
      <c r="H53" s="137" t="e">
        <f>G23</f>
        <v>#DIV/0!</v>
      </c>
      <c r="I53" s="238"/>
      <c r="J53" s="238"/>
      <c r="M53" s="238"/>
    </row>
    <row r="54" spans="1:17" s="136" customFormat="1" ht="14.25" x14ac:dyDescent="0.25">
      <c r="A54" s="136" t="str">
        <f>A25</f>
        <v>Instandhaltungs- und betriebsgebundene Kosten</v>
      </c>
      <c r="B54" s="135"/>
      <c r="C54" s="135"/>
      <c r="D54" s="135"/>
      <c r="E54" s="135"/>
      <c r="F54" s="135"/>
      <c r="G54" s="135"/>
      <c r="H54" s="137">
        <f>SUM(H26:H35)</f>
        <v>0</v>
      </c>
      <c r="I54" s="602"/>
      <c r="J54" s="238"/>
      <c r="M54" s="238"/>
    </row>
    <row r="55" spans="1:17" s="136" customFormat="1" ht="14.25" x14ac:dyDescent="0.25">
      <c r="A55" s="136" t="str">
        <f>A37</f>
        <v>bedarfsgebundene und sonstige Kosten</v>
      </c>
      <c r="B55" s="135"/>
      <c r="C55" s="135"/>
      <c r="D55" s="135"/>
      <c r="E55" s="135"/>
      <c r="F55" s="135"/>
      <c r="G55" s="135"/>
      <c r="H55" s="137" t="e">
        <f>SUM(H38:H48)</f>
        <v>#VALUE!</v>
      </c>
      <c r="I55" s="603"/>
      <c r="J55" s="238"/>
      <c r="M55" s="238"/>
    </row>
    <row r="56" spans="1:17" s="136" customFormat="1" ht="14.25" x14ac:dyDescent="0.25">
      <c r="A56" s="175" t="s">
        <v>164</v>
      </c>
      <c r="B56" s="135"/>
      <c r="C56" s="135"/>
      <c r="D56" s="135"/>
      <c r="E56" s="135"/>
      <c r="F56" s="135"/>
      <c r="G56" s="135"/>
      <c r="H56" s="137"/>
      <c r="I56" s="436"/>
      <c r="J56" s="238"/>
      <c r="M56" s="238"/>
    </row>
    <row r="57" spans="1:17" s="136" customFormat="1" thickBot="1" x14ac:dyDescent="0.3">
      <c r="A57" s="380" t="str">
        <f>A6</f>
        <v>Verkauf Biomethan</v>
      </c>
      <c r="B57" s="381"/>
      <c r="C57" s="381"/>
      <c r="D57" s="380"/>
      <c r="E57" s="382"/>
      <c r="F57" s="381"/>
      <c r="G57" s="381"/>
      <c r="H57" s="154">
        <f>H6</f>
        <v>0</v>
      </c>
      <c r="I57" s="437"/>
      <c r="J57" s="238"/>
      <c r="M57" s="238"/>
    </row>
    <row r="58" spans="1:17" s="136" customFormat="1" thickTop="1" x14ac:dyDescent="0.25">
      <c r="A58" s="135" t="s">
        <v>177</v>
      </c>
      <c r="B58" s="135"/>
      <c r="C58" s="135"/>
      <c r="D58" s="135"/>
      <c r="E58" s="135"/>
      <c r="F58" s="176"/>
      <c r="G58" s="177"/>
      <c r="H58" s="162" t="e">
        <f>H57-SUM(H53:H55)</f>
        <v>#DIV/0!</v>
      </c>
      <c r="I58" s="238"/>
      <c r="J58" s="238"/>
      <c r="M58" s="238"/>
      <c r="N58" s="142"/>
      <c r="O58" s="142"/>
      <c r="P58" s="142"/>
      <c r="Q58" s="142"/>
    </row>
    <row r="59" spans="1:17" s="142" customFormat="1" ht="14.25" x14ac:dyDescent="0.25">
      <c r="A59" s="165"/>
      <c r="B59" s="165"/>
      <c r="C59" s="165"/>
      <c r="D59" s="165"/>
      <c r="E59" s="165"/>
      <c r="F59" s="165"/>
      <c r="H59" s="166"/>
      <c r="M59" s="291"/>
      <c r="N59" s="136"/>
      <c r="O59" s="136"/>
      <c r="P59" s="136"/>
      <c r="Q59" s="136"/>
    </row>
    <row r="60" spans="1:17" s="136" customFormat="1" thickBot="1" x14ac:dyDescent="0.3">
      <c r="A60" s="135" t="s">
        <v>178</v>
      </c>
      <c r="B60" s="135"/>
      <c r="C60" s="135"/>
      <c r="D60" s="135"/>
      <c r="E60" s="135"/>
      <c r="F60" s="135"/>
      <c r="G60" s="135"/>
      <c r="H60" s="162"/>
      <c r="M60" s="238"/>
    </row>
    <row r="61" spans="1:17" s="136" customFormat="1" ht="14.25" x14ac:dyDescent="0.25">
      <c r="A61" s="178" t="s">
        <v>179</v>
      </c>
      <c r="B61" s="179"/>
      <c r="C61" s="179"/>
      <c r="D61" s="179"/>
      <c r="E61" s="179"/>
      <c r="F61" s="179"/>
      <c r="G61" s="179"/>
      <c r="H61" s="180"/>
      <c r="M61" s="238"/>
    </row>
    <row r="62" spans="1:17" s="136" customFormat="1" ht="14.25" x14ac:dyDescent="0.25">
      <c r="A62" s="181" t="s">
        <v>363</v>
      </c>
      <c r="B62" s="141"/>
      <c r="C62" s="141"/>
      <c r="D62" s="141"/>
      <c r="E62" s="141"/>
      <c r="F62" s="141"/>
      <c r="G62" s="141"/>
      <c r="H62" s="182" t="e">
        <f>B23</f>
        <v>#DIV/0!</v>
      </c>
      <c r="I62" s="183"/>
      <c r="M62" s="238"/>
    </row>
    <row r="63" spans="1:17" s="136" customFormat="1" thickBot="1" x14ac:dyDescent="0.3">
      <c r="A63" s="184" t="s">
        <v>180</v>
      </c>
      <c r="B63" s="185"/>
      <c r="C63" s="185"/>
      <c r="D63" s="185"/>
      <c r="E63" s="186"/>
      <c r="F63" s="185"/>
      <c r="G63" s="185"/>
      <c r="H63" s="187" t="e">
        <f>ROUND((H58+I23)/(H62/2),4)</f>
        <v>#DIV/0!</v>
      </c>
      <c r="I63" s="183" t="s">
        <v>181</v>
      </c>
      <c r="M63" s="238"/>
      <c r="N63" s="142"/>
      <c r="O63" s="142"/>
      <c r="P63" s="142"/>
      <c r="Q63" s="142"/>
    </row>
    <row r="64" spans="1:17" s="142" customFormat="1" ht="14.25" x14ac:dyDescent="0.25">
      <c r="A64" s="165"/>
      <c r="B64" s="165"/>
      <c r="C64" s="165"/>
      <c r="D64" s="188"/>
      <c r="E64" s="165"/>
      <c r="F64" s="165"/>
      <c r="G64" s="165"/>
      <c r="H64" s="166"/>
      <c r="M64" s="291"/>
      <c r="N64" s="136"/>
      <c r="O64" s="136"/>
      <c r="P64" s="136"/>
      <c r="Q64" s="136"/>
    </row>
    <row r="65" spans="1:17" s="161" customFormat="1" ht="16.5" x14ac:dyDescent="0.25">
      <c r="I65" s="600"/>
      <c r="J65" s="600"/>
      <c r="M65" s="248"/>
    </row>
    <row r="66" spans="1:17" s="161" customFormat="1" ht="16.5" x14ac:dyDescent="0.25">
      <c r="I66" s="189"/>
      <c r="J66" s="189"/>
      <c r="M66" s="248"/>
      <c r="N66" s="136"/>
      <c r="O66" s="136"/>
      <c r="P66" s="136"/>
      <c r="Q66" s="136"/>
    </row>
    <row r="67" spans="1:17" s="136" customFormat="1" ht="14.25" x14ac:dyDescent="0.25">
      <c r="M67" s="238"/>
      <c r="N67" s="142"/>
      <c r="O67" s="142"/>
      <c r="P67" s="142"/>
      <c r="Q67" s="142"/>
    </row>
    <row r="68" spans="1:17" s="142" customFormat="1" ht="14.25" x14ac:dyDescent="0.25">
      <c r="M68" s="291"/>
      <c r="N68" s="136"/>
      <c r="O68" s="136"/>
      <c r="P68" s="136"/>
      <c r="Q68" s="136"/>
    </row>
    <row r="69" spans="1:17" s="136" customFormat="1" ht="14.25" x14ac:dyDescent="0.25">
      <c r="E69" s="190" t="s">
        <v>182</v>
      </c>
      <c r="G69" s="191"/>
      <c r="M69" s="238"/>
    </row>
    <row r="70" spans="1:17" s="136" customFormat="1" ht="14.25" x14ac:dyDescent="0.25">
      <c r="M70" s="238"/>
    </row>
    <row r="71" spans="1:17" s="136" customFormat="1" ht="14.25" x14ac:dyDescent="0.25">
      <c r="M71" s="238"/>
    </row>
    <row r="72" spans="1:17" s="136" customFormat="1" ht="14.25" x14ac:dyDescent="0.25">
      <c r="M72" s="238"/>
    </row>
    <row r="73" spans="1:17" s="136" customFormat="1" ht="14.25" x14ac:dyDescent="0.25">
      <c r="M73" s="238"/>
    </row>
    <row r="74" spans="1:17" s="136" customFormat="1" ht="14.25" x14ac:dyDescent="0.25">
      <c r="M74" s="238"/>
    </row>
    <row r="75" spans="1:17" s="136" customFormat="1" ht="16.5" x14ac:dyDescent="0.3">
      <c r="A75" s="173" t="s">
        <v>157</v>
      </c>
      <c r="M75" s="238"/>
    </row>
    <row r="76" spans="1:17" s="136" customFormat="1" ht="16.5" x14ac:dyDescent="0.3">
      <c r="A76" s="173" t="s">
        <v>171</v>
      </c>
      <c r="M76" s="238"/>
    </row>
    <row r="77" spans="1:17" s="136" customFormat="1" ht="14.25" x14ac:dyDescent="0.25">
      <c r="M77" s="238"/>
    </row>
    <row r="78" spans="1:17" s="136" customFormat="1" ht="14.25" x14ac:dyDescent="0.25">
      <c r="A78" s="136" t="s">
        <v>183</v>
      </c>
      <c r="M78" s="238"/>
    </row>
    <row r="79" spans="1:17" s="136" customFormat="1" ht="14.25" x14ac:dyDescent="0.25">
      <c r="A79" s="136" t="s">
        <v>184</v>
      </c>
      <c r="M79" s="238"/>
    </row>
    <row r="80" spans="1:17" s="136" customFormat="1" ht="14.25" x14ac:dyDescent="0.25">
      <c r="A80" s="192"/>
      <c r="M80" s="238"/>
    </row>
    <row r="81" spans="1:15" s="136" customFormat="1" ht="14.25" x14ac:dyDescent="0.25">
      <c r="A81" s="192"/>
      <c r="M81" s="238"/>
    </row>
    <row r="82" spans="1:15" s="136" customFormat="1" ht="14.25" x14ac:dyDescent="0.25">
      <c r="M82" s="238"/>
    </row>
    <row r="83" spans="1:15" s="136" customFormat="1" ht="40.5" x14ac:dyDescent="0.25">
      <c r="M83" s="238"/>
      <c r="N83" s="279"/>
      <c r="O83" s="193" t="s">
        <v>185</v>
      </c>
    </row>
    <row r="84" spans="1:15" s="136" customFormat="1" ht="46.5" x14ac:dyDescent="0.3">
      <c r="A84" s="193" t="s">
        <v>34</v>
      </c>
      <c r="B84" s="193"/>
      <c r="C84" s="193"/>
      <c r="D84" s="193" t="s">
        <v>186</v>
      </c>
      <c r="E84" s="193" t="s">
        <v>187</v>
      </c>
      <c r="F84" s="193"/>
      <c r="G84" s="193" t="s">
        <v>188</v>
      </c>
      <c r="H84" s="193"/>
      <c r="I84" s="193" t="s">
        <v>189</v>
      </c>
      <c r="J84" s="193"/>
      <c r="K84" s="193" t="s">
        <v>190</v>
      </c>
      <c r="L84" s="262" t="s">
        <v>191</v>
      </c>
      <c r="M84" s="292" t="s">
        <v>191</v>
      </c>
      <c r="N84" s="279"/>
      <c r="O84" s="193" t="s">
        <v>185</v>
      </c>
    </row>
    <row r="85" spans="1:15" s="136" customFormat="1" ht="14.25" x14ac:dyDescent="0.25">
      <c r="A85" s="194" t="s">
        <v>192</v>
      </c>
      <c r="B85" s="194" t="e">
        <f>IF(#REF!=A85,1,0)</f>
        <v>#REF!</v>
      </c>
      <c r="C85" s="194"/>
      <c r="D85" s="195"/>
      <c r="E85" s="196">
        <v>0</v>
      </c>
      <c r="F85" s="196" t="e">
        <f t="shared" ref="F85:F148" si="16">IF(B85=1,E85,0)</f>
        <v>#REF!</v>
      </c>
      <c r="G85" s="196">
        <v>0</v>
      </c>
      <c r="H85" s="196" t="e">
        <f t="shared" ref="H85:H148" si="17">IF(B85=1,G85,0)</f>
        <v>#REF!</v>
      </c>
      <c r="I85" s="195">
        <v>0</v>
      </c>
      <c r="J85" s="195" t="e">
        <f t="shared" ref="J85:J148" si="18">IF(B85=1,I85,0)</f>
        <v>#REF!</v>
      </c>
      <c r="K85" s="195">
        <v>0</v>
      </c>
      <c r="L85" s="263">
        <v>0</v>
      </c>
      <c r="M85" s="293">
        <v>0</v>
      </c>
      <c r="N85" s="280" t="e">
        <f t="shared" ref="N85:N91" si="19">IF(B85=1,L85,0)</f>
        <v>#REF!</v>
      </c>
      <c r="O85" s="195">
        <v>8</v>
      </c>
    </row>
    <row r="86" spans="1:15" s="136" customFormat="1" ht="14.25" x14ac:dyDescent="0.25">
      <c r="A86" s="194" t="s">
        <v>32</v>
      </c>
      <c r="B86" s="194" t="e">
        <f>IF(#REF!=A86,1,0)</f>
        <v>#REF!</v>
      </c>
      <c r="C86" s="194"/>
      <c r="D86" s="195">
        <v>5</v>
      </c>
      <c r="E86" s="196">
        <v>0.54799999999999993</v>
      </c>
      <c r="F86" s="196" t="e">
        <f t="shared" si="16"/>
        <v>#REF!</v>
      </c>
      <c r="G86" s="196">
        <v>0.78599999999999992</v>
      </c>
      <c r="H86" s="196" t="e">
        <f t="shared" si="17"/>
        <v>#REF!</v>
      </c>
      <c r="I86" s="195">
        <v>531</v>
      </c>
      <c r="J86" s="195" t="e">
        <f t="shared" si="18"/>
        <v>#REF!</v>
      </c>
      <c r="K86" s="195">
        <v>82</v>
      </c>
      <c r="L86" s="263">
        <v>0.61</v>
      </c>
      <c r="M86" s="293">
        <v>325</v>
      </c>
      <c r="N86" s="280" t="e">
        <f t="shared" si="19"/>
        <v>#REF!</v>
      </c>
      <c r="O86" s="195">
        <v>8</v>
      </c>
    </row>
    <row r="87" spans="1:15" s="136" customFormat="1" ht="14.25" x14ac:dyDescent="0.25">
      <c r="A87" s="197" t="s">
        <v>31</v>
      </c>
      <c r="B87" s="197" t="e">
        <f>IF(#REF!=A87,1,0)</f>
        <v>#REF!</v>
      </c>
      <c r="C87" s="197"/>
      <c r="D87" s="198" t="s">
        <v>193</v>
      </c>
      <c r="E87" s="199">
        <v>0.45</v>
      </c>
      <c r="F87" s="199" t="e">
        <f t="shared" si="16"/>
        <v>#REF!</v>
      </c>
      <c r="G87" s="199">
        <v>0.75</v>
      </c>
      <c r="H87" s="199" t="e">
        <f t="shared" si="17"/>
        <v>#REF!</v>
      </c>
      <c r="I87" s="198">
        <v>500</v>
      </c>
      <c r="J87" s="198" t="e">
        <f t="shared" si="18"/>
        <v>#REF!</v>
      </c>
      <c r="K87" s="198">
        <v>82</v>
      </c>
      <c r="L87" s="264">
        <v>0.65</v>
      </c>
      <c r="M87" s="294">
        <v>326</v>
      </c>
      <c r="N87" s="281" t="e">
        <f t="shared" si="19"/>
        <v>#REF!</v>
      </c>
      <c r="O87" s="195">
        <v>8</v>
      </c>
    </row>
    <row r="88" spans="1:15" s="136" customFormat="1" ht="14.25" x14ac:dyDescent="0.25">
      <c r="A88" s="200" t="s">
        <v>158</v>
      </c>
      <c r="B88" s="200" t="e">
        <f>IF(#REF!=A88,1,0)</f>
        <v>#REF!</v>
      </c>
      <c r="C88" s="200"/>
      <c r="D88" s="201"/>
      <c r="E88" s="202">
        <v>0.22900000000000001</v>
      </c>
      <c r="F88" s="202" t="e">
        <f t="shared" si="16"/>
        <v>#REF!</v>
      </c>
      <c r="G88" s="202">
        <v>0.82199999999999995</v>
      </c>
      <c r="H88" s="202" t="e">
        <f t="shared" si="17"/>
        <v>#REF!</v>
      </c>
      <c r="I88" s="201">
        <v>350</v>
      </c>
      <c r="J88" s="201" t="e">
        <f t="shared" si="18"/>
        <v>#REF!</v>
      </c>
      <c r="K88" s="201"/>
      <c r="L88" s="265">
        <v>0.57999999999999996</v>
      </c>
      <c r="M88" s="295"/>
      <c r="N88" s="282" t="e">
        <f t="shared" si="19"/>
        <v>#REF!</v>
      </c>
      <c r="O88" s="201">
        <v>8</v>
      </c>
    </row>
    <row r="89" spans="1:15" s="136" customFormat="1" ht="14.25" x14ac:dyDescent="0.25">
      <c r="A89" s="200" t="s">
        <v>25</v>
      </c>
      <c r="B89" s="200" t="e">
        <f>IF(#REF!=A89,1,0)</f>
        <v>#REF!</v>
      </c>
      <c r="C89" s="200"/>
      <c r="D89" s="201"/>
      <c r="E89" s="202">
        <v>8.8999999999999996E-2</v>
      </c>
      <c r="F89" s="202" t="e">
        <f t="shared" si="16"/>
        <v>#REF!</v>
      </c>
      <c r="G89" s="202">
        <v>0.78900000000000003</v>
      </c>
      <c r="H89" s="202" t="e">
        <f t="shared" si="17"/>
        <v>#REF!</v>
      </c>
      <c r="I89" s="201">
        <v>384</v>
      </c>
      <c r="J89" s="201" t="e">
        <f t="shared" si="18"/>
        <v>#REF!</v>
      </c>
      <c r="K89" s="201"/>
      <c r="L89" s="265">
        <v>0.59899999999999998</v>
      </c>
      <c r="M89" s="295"/>
      <c r="N89" s="282" t="e">
        <f t="shared" si="19"/>
        <v>#REF!</v>
      </c>
      <c r="O89" s="201">
        <v>8</v>
      </c>
    </row>
    <row r="90" spans="1:15" s="136" customFormat="1" ht="14.25" x14ac:dyDescent="0.25">
      <c r="A90" s="203" t="s">
        <v>194</v>
      </c>
      <c r="B90" s="203" t="e">
        <f>IF(#REF!=A90,1,0)</f>
        <v>#REF!</v>
      </c>
      <c r="C90" s="203"/>
      <c r="D90" s="204" t="s">
        <v>195</v>
      </c>
      <c r="E90" s="205">
        <v>0.22500000000000001</v>
      </c>
      <c r="F90" s="205" t="e">
        <f t="shared" si="16"/>
        <v>#REF!</v>
      </c>
      <c r="G90" s="205">
        <v>0.82499999999999996</v>
      </c>
      <c r="H90" s="205" t="e">
        <f t="shared" si="17"/>
        <v>#REF!</v>
      </c>
      <c r="I90" s="204">
        <v>400</v>
      </c>
      <c r="J90" s="204" t="e">
        <f t="shared" si="18"/>
        <v>#REF!</v>
      </c>
      <c r="K90" s="204">
        <v>45</v>
      </c>
      <c r="L90" s="266">
        <v>0.6</v>
      </c>
      <c r="M90" s="296"/>
      <c r="N90" s="283" t="e">
        <f t="shared" si="19"/>
        <v>#REF!</v>
      </c>
      <c r="O90" s="195">
        <v>8</v>
      </c>
    </row>
    <row r="91" spans="1:15" s="136" customFormat="1" ht="14.25" x14ac:dyDescent="0.25">
      <c r="A91" s="194" t="s">
        <v>196</v>
      </c>
      <c r="B91" s="194" t="e">
        <f>IF(#REF!=A91,1,0)</f>
        <v>#REF!</v>
      </c>
      <c r="C91" s="194"/>
      <c r="D91" s="195">
        <v>34</v>
      </c>
      <c r="E91" s="196">
        <v>0.05</v>
      </c>
      <c r="F91" s="196" t="e">
        <f t="shared" si="16"/>
        <v>#REF!</v>
      </c>
      <c r="G91" s="196">
        <v>0.72599999999999998</v>
      </c>
      <c r="H91" s="196" t="e">
        <f t="shared" si="17"/>
        <v>#REF!</v>
      </c>
      <c r="I91" s="195">
        <v>372</v>
      </c>
      <c r="J91" s="195" t="e">
        <f t="shared" si="18"/>
        <v>#REF!</v>
      </c>
      <c r="K91" s="195">
        <v>12</v>
      </c>
      <c r="L91" s="267">
        <v>0.6</v>
      </c>
      <c r="M91" s="297" t="s">
        <v>197</v>
      </c>
      <c r="N91" s="280" t="e">
        <f t="shared" si="19"/>
        <v>#REF!</v>
      </c>
      <c r="O91" s="195">
        <v>8</v>
      </c>
    </row>
    <row r="92" spans="1:15" s="136" customFormat="1" ht="14.25" x14ac:dyDescent="0.25">
      <c r="A92" s="207" t="s">
        <v>198</v>
      </c>
      <c r="B92" s="207" t="e">
        <f>IF(#REF!=A92,1,0)</f>
        <v>#REF!</v>
      </c>
      <c r="C92" s="207"/>
      <c r="D92" s="208" t="s">
        <v>195</v>
      </c>
      <c r="E92" s="209">
        <v>0.3</v>
      </c>
      <c r="F92" s="209" t="e">
        <f t="shared" si="16"/>
        <v>#REF!</v>
      </c>
      <c r="G92" s="209">
        <v>0.8</v>
      </c>
      <c r="H92" s="209" t="e">
        <f t="shared" si="17"/>
        <v>#REF!</v>
      </c>
      <c r="I92" s="208">
        <v>450</v>
      </c>
      <c r="J92" s="208" t="e">
        <f t="shared" si="18"/>
        <v>#REF!</v>
      </c>
      <c r="K92" s="208">
        <v>59</v>
      </c>
      <c r="L92" s="268">
        <v>0.55000000000000004</v>
      </c>
      <c r="M92" s="298"/>
      <c r="N92" s="283"/>
      <c r="O92" s="195">
        <v>8</v>
      </c>
    </row>
    <row r="93" spans="1:15" s="136" customFormat="1" thickBot="1" x14ac:dyDescent="0.3">
      <c r="A93" s="210" t="s">
        <v>159</v>
      </c>
      <c r="B93" s="210" t="e">
        <f>IF(#REF!=A93,1,0)</f>
        <v>#REF!</v>
      </c>
      <c r="C93" s="210"/>
      <c r="D93" s="211">
        <v>6</v>
      </c>
      <c r="E93" s="212">
        <v>0.27200000000000002</v>
      </c>
      <c r="F93" s="212" t="e">
        <f t="shared" si="16"/>
        <v>#REF!</v>
      </c>
      <c r="G93" s="212">
        <v>0.84200000000000008</v>
      </c>
      <c r="H93" s="212" t="e">
        <f t="shared" si="17"/>
        <v>#REF!</v>
      </c>
      <c r="I93" s="211">
        <v>491</v>
      </c>
      <c r="J93" s="211" t="e">
        <f t="shared" si="18"/>
        <v>#REF!</v>
      </c>
      <c r="K93" s="211">
        <v>35</v>
      </c>
      <c r="L93" s="269">
        <v>0.52</v>
      </c>
      <c r="M93" s="293">
        <v>253</v>
      </c>
      <c r="N93" s="284" t="e">
        <f t="shared" ref="N93:N156" si="20">IF(B93=1,L93,0)</f>
        <v>#REF!</v>
      </c>
      <c r="O93" s="211">
        <v>8</v>
      </c>
    </row>
    <row r="94" spans="1:15" s="136" customFormat="1" ht="14.25" x14ac:dyDescent="0.25">
      <c r="A94" s="194" t="s">
        <v>199</v>
      </c>
      <c r="B94" s="194" t="e">
        <f>IF(#REF!=A94,1,0)</f>
        <v>#REF!</v>
      </c>
      <c r="C94" s="194"/>
      <c r="D94" s="195">
        <v>59</v>
      </c>
      <c r="E94" s="196">
        <v>0.24299999999999999</v>
      </c>
      <c r="F94" s="196" t="e">
        <f t="shared" si="16"/>
        <v>#REF!</v>
      </c>
      <c r="G94" s="196">
        <v>0.95200000000000007</v>
      </c>
      <c r="H94" s="196" t="e">
        <f t="shared" si="17"/>
        <v>#REF!</v>
      </c>
      <c r="I94" s="195">
        <v>642</v>
      </c>
      <c r="J94" s="195" t="e">
        <f t="shared" si="18"/>
        <v>#REF!</v>
      </c>
      <c r="K94" s="195">
        <v>106</v>
      </c>
      <c r="L94" s="263">
        <v>0.54</v>
      </c>
      <c r="M94" s="293">
        <v>347</v>
      </c>
      <c r="N94" s="285" t="e">
        <f t="shared" si="20"/>
        <v>#REF!</v>
      </c>
      <c r="O94" s="213">
        <v>6</v>
      </c>
    </row>
    <row r="95" spans="1:15" s="136" customFormat="1" ht="14.25" x14ac:dyDescent="0.25">
      <c r="A95" s="200" t="s">
        <v>161</v>
      </c>
      <c r="B95" s="200" t="e">
        <f>IF(#REF!=A95,1,0)</f>
        <v>#REF!</v>
      </c>
      <c r="C95" s="200"/>
      <c r="D95" s="201"/>
      <c r="E95" s="202">
        <v>0.35099999999999998</v>
      </c>
      <c r="F95" s="202" t="e">
        <f t="shared" si="16"/>
        <v>#REF!</v>
      </c>
      <c r="G95" s="202">
        <v>0.96499999999999997</v>
      </c>
      <c r="H95" s="202" t="e">
        <f t="shared" si="17"/>
        <v>#REF!</v>
      </c>
      <c r="I95" s="201">
        <v>658</v>
      </c>
      <c r="J95" s="201" t="e">
        <f t="shared" si="18"/>
        <v>#REF!</v>
      </c>
      <c r="K95" s="201"/>
      <c r="L95" s="265">
        <v>0.54300000000000004</v>
      </c>
      <c r="M95" s="295"/>
      <c r="N95" s="282" t="e">
        <f t="shared" si="20"/>
        <v>#REF!</v>
      </c>
      <c r="O95" s="214">
        <v>6</v>
      </c>
    </row>
    <row r="96" spans="1:15" s="136" customFormat="1" ht="14.25" x14ac:dyDescent="0.25">
      <c r="A96" s="194" t="s">
        <v>200</v>
      </c>
      <c r="B96" s="194" t="e">
        <f>IF(#REF!=A96,1,0)</f>
        <v>#REF!</v>
      </c>
      <c r="C96" s="194"/>
      <c r="D96" s="195">
        <v>59</v>
      </c>
      <c r="E96" s="196">
        <v>0.40299999999999997</v>
      </c>
      <c r="F96" s="196" t="e">
        <f t="shared" si="16"/>
        <v>#REF!</v>
      </c>
      <c r="G96" s="196">
        <v>0.96099999999999997</v>
      </c>
      <c r="H96" s="196" t="e">
        <f t="shared" si="17"/>
        <v>#REF!</v>
      </c>
      <c r="I96" s="195">
        <v>627</v>
      </c>
      <c r="J96" s="195" t="e">
        <f t="shared" si="18"/>
        <v>#REF!</v>
      </c>
      <c r="K96" s="195">
        <v>106</v>
      </c>
      <c r="L96" s="263">
        <v>0.53</v>
      </c>
      <c r="M96" s="293">
        <v>332</v>
      </c>
      <c r="N96" s="280" t="e">
        <f t="shared" si="20"/>
        <v>#REF!</v>
      </c>
      <c r="O96" s="213">
        <v>6</v>
      </c>
    </row>
    <row r="97" spans="1:15" s="136" customFormat="1" ht="14.25" x14ac:dyDescent="0.25">
      <c r="A97" s="194" t="s">
        <v>201</v>
      </c>
      <c r="B97" s="194" t="e">
        <f>IF(#REF!=A97,1,0)</f>
        <v>#REF!</v>
      </c>
      <c r="C97" s="194"/>
      <c r="D97" s="195">
        <v>6</v>
      </c>
      <c r="E97" s="196">
        <v>0.53400000000000003</v>
      </c>
      <c r="F97" s="196" t="e">
        <f t="shared" si="16"/>
        <v>#REF!</v>
      </c>
      <c r="G97" s="196">
        <v>0.97799999999999998</v>
      </c>
      <c r="H97" s="196" t="e">
        <f t="shared" si="17"/>
        <v>#REF!</v>
      </c>
      <c r="I97" s="195">
        <v>720</v>
      </c>
      <c r="J97" s="195" t="e">
        <f t="shared" si="18"/>
        <v>#REF!</v>
      </c>
      <c r="K97" s="195">
        <v>242</v>
      </c>
      <c r="L97" s="263">
        <v>0.54</v>
      </c>
      <c r="M97" s="293">
        <v>387</v>
      </c>
      <c r="N97" s="280" t="e">
        <f t="shared" si="20"/>
        <v>#REF!</v>
      </c>
      <c r="O97" s="213">
        <v>6</v>
      </c>
    </row>
    <row r="98" spans="1:15" s="136" customFormat="1" ht="14.25" x14ac:dyDescent="0.25">
      <c r="A98" s="194" t="s">
        <v>202</v>
      </c>
      <c r="B98" s="194" t="e">
        <f>IF(#REF!=A98,1,0)</f>
        <v>#REF!</v>
      </c>
      <c r="C98" s="194"/>
      <c r="D98" s="195">
        <v>3</v>
      </c>
      <c r="E98" s="196">
        <v>0.79900000000000004</v>
      </c>
      <c r="F98" s="196" t="e">
        <f t="shared" si="16"/>
        <v>#REF!</v>
      </c>
      <c r="G98" s="196">
        <v>0.94799999999999995</v>
      </c>
      <c r="H98" s="196" t="e">
        <f t="shared" si="17"/>
        <v>#REF!</v>
      </c>
      <c r="I98" s="195">
        <v>764</v>
      </c>
      <c r="J98" s="195" t="e">
        <f t="shared" si="18"/>
        <v>#REF!</v>
      </c>
      <c r="K98" s="195">
        <v>324</v>
      </c>
      <c r="L98" s="263">
        <v>0.51</v>
      </c>
      <c r="M98" s="293">
        <v>385</v>
      </c>
      <c r="N98" s="280" t="e">
        <f t="shared" si="20"/>
        <v>#REF!</v>
      </c>
      <c r="O98" s="213">
        <v>6</v>
      </c>
    </row>
    <row r="99" spans="1:15" s="136" customFormat="1" ht="14.25" x14ac:dyDescent="0.25">
      <c r="A99" s="203" t="s">
        <v>203</v>
      </c>
      <c r="B99" s="203" t="e">
        <f>IF(#REF!=A99,1,0)</f>
        <v>#REF!</v>
      </c>
      <c r="C99" s="203"/>
      <c r="D99" s="204" t="s">
        <v>195</v>
      </c>
      <c r="E99" s="205">
        <v>0.45</v>
      </c>
      <c r="F99" s="205" t="e">
        <f t="shared" si="16"/>
        <v>#REF!</v>
      </c>
      <c r="G99" s="205">
        <v>0.97099999999999997</v>
      </c>
      <c r="H99" s="205" t="e">
        <f t="shared" si="17"/>
        <v>#REF!</v>
      </c>
      <c r="I99" s="204">
        <v>645</v>
      </c>
      <c r="J99" s="208" t="e">
        <f t="shared" si="18"/>
        <v>#REF!</v>
      </c>
      <c r="K99" s="204">
        <v>148</v>
      </c>
      <c r="L99" s="270">
        <v>0.52600000000000002</v>
      </c>
      <c r="M99" s="296"/>
      <c r="N99" s="283" t="e">
        <f t="shared" si="20"/>
        <v>#REF!</v>
      </c>
      <c r="O99" s="213">
        <v>6</v>
      </c>
    </row>
    <row r="100" spans="1:15" s="136" customFormat="1" thickBot="1" x14ac:dyDescent="0.3">
      <c r="A100" s="215" t="s">
        <v>204</v>
      </c>
      <c r="B100" s="215" t="e">
        <f>IF(#REF!=A100,1,0)</f>
        <v>#REF!</v>
      </c>
      <c r="C100" s="215"/>
      <c r="D100" s="216"/>
      <c r="E100" s="217">
        <v>0.88</v>
      </c>
      <c r="F100" s="217" t="e">
        <f t="shared" si="16"/>
        <v>#REF!</v>
      </c>
      <c r="G100" s="217">
        <v>0.97799999999999998</v>
      </c>
      <c r="H100" s="217" t="e">
        <f t="shared" si="17"/>
        <v>#REF!</v>
      </c>
      <c r="I100" s="216">
        <v>670</v>
      </c>
      <c r="J100" s="216" t="e">
        <f t="shared" si="18"/>
        <v>#REF!</v>
      </c>
      <c r="K100" s="216"/>
      <c r="L100" s="271">
        <v>0.52</v>
      </c>
      <c r="M100" s="295"/>
      <c r="N100" s="286" t="e">
        <f t="shared" si="20"/>
        <v>#REF!</v>
      </c>
      <c r="O100" s="216">
        <v>6</v>
      </c>
    </row>
    <row r="101" spans="1:15" s="136" customFormat="1" ht="14.25" x14ac:dyDescent="0.25">
      <c r="A101" s="218" t="s">
        <v>205</v>
      </c>
      <c r="B101" s="218" t="e">
        <f>IF(#REF!=A101,1,0)</f>
        <v>#REF!</v>
      </c>
      <c r="C101" s="218"/>
      <c r="D101" s="219"/>
      <c r="E101" s="196"/>
      <c r="F101" s="220" t="e">
        <f t="shared" si="16"/>
        <v>#REF!</v>
      </c>
      <c r="G101" s="196"/>
      <c r="H101" s="220" t="e">
        <f t="shared" si="17"/>
        <v>#REF!</v>
      </c>
      <c r="I101" s="195"/>
      <c r="J101" s="213" t="e">
        <f t="shared" si="18"/>
        <v>#REF!</v>
      </c>
      <c r="K101" s="219">
        <v>254</v>
      </c>
      <c r="L101" s="263"/>
      <c r="M101" s="293"/>
      <c r="N101" s="285" t="e">
        <f t="shared" si="20"/>
        <v>#REF!</v>
      </c>
      <c r="O101" s="219">
        <v>0</v>
      </c>
    </row>
    <row r="102" spans="1:15" s="136" customFormat="1" ht="14.25" x14ac:dyDescent="0.25">
      <c r="A102" s="194" t="s">
        <v>206</v>
      </c>
      <c r="B102" s="194" t="e">
        <f>IF(#REF!=A102,1,0)</f>
        <v>#REF!</v>
      </c>
      <c r="C102" s="194"/>
      <c r="D102" s="195"/>
      <c r="E102" s="196"/>
      <c r="F102" s="196" t="e">
        <f t="shared" si="16"/>
        <v>#REF!</v>
      </c>
      <c r="G102" s="196"/>
      <c r="H102" s="196" t="e">
        <f t="shared" si="17"/>
        <v>#REF!</v>
      </c>
      <c r="I102" s="195"/>
      <c r="J102" s="195" t="e">
        <f t="shared" si="18"/>
        <v>#REF!</v>
      </c>
      <c r="K102" s="195">
        <v>344</v>
      </c>
      <c r="L102" s="263"/>
      <c r="M102" s="293"/>
      <c r="N102" s="280" t="e">
        <f t="shared" si="20"/>
        <v>#REF!</v>
      </c>
      <c r="O102" s="195">
        <v>0</v>
      </c>
    </row>
    <row r="103" spans="1:15" s="136" customFormat="1" ht="14.25" x14ac:dyDescent="0.25">
      <c r="A103" s="194" t="s">
        <v>207</v>
      </c>
      <c r="B103" s="194" t="e">
        <f>IF(#REF!=A103,1,0)</f>
        <v>#REF!</v>
      </c>
      <c r="C103" s="194"/>
      <c r="D103" s="195"/>
      <c r="E103" s="196"/>
      <c r="F103" s="196" t="e">
        <f t="shared" si="16"/>
        <v>#REF!</v>
      </c>
      <c r="G103" s="196"/>
      <c r="H103" s="196" t="e">
        <f t="shared" si="17"/>
        <v>#REF!</v>
      </c>
      <c r="I103" s="195"/>
      <c r="J103" s="195" t="e">
        <f t="shared" si="18"/>
        <v>#REF!</v>
      </c>
      <c r="K103" s="195">
        <v>61</v>
      </c>
      <c r="L103" s="263"/>
      <c r="M103" s="293"/>
      <c r="N103" s="280" t="e">
        <f t="shared" si="20"/>
        <v>#REF!</v>
      </c>
      <c r="O103" s="195">
        <v>0</v>
      </c>
    </row>
    <row r="104" spans="1:15" s="136" customFormat="1" ht="14.25" x14ac:dyDescent="0.25">
      <c r="A104" s="194" t="s">
        <v>208</v>
      </c>
      <c r="B104" s="194" t="e">
        <f>IF(#REF!=A104,1,0)</f>
        <v>#REF!</v>
      </c>
      <c r="C104" s="194"/>
      <c r="D104" s="195"/>
      <c r="E104" s="196"/>
      <c r="F104" s="196" t="e">
        <f t="shared" si="16"/>
        <v>#REF!</v>
      </c>
      <c r="G104" s="196"/>
      <c r="H104" s="196" t="e">
        <f t="shared" si="17"/>
        <v>#REF!</v>
      </c>
      <c r="I104" s="195"/>
      <c r="J104" s="195" t="e">
        <f t="shared" si="18"/>
        <v>#REF!</v>
      </c>
      <c r="K104" s="195">
        <v>32</v>
      </c>
      <c r="L104" s="263"/>
      <c r="M104" s="293"/>
      <c r="N104" s="280" t="e">
        <f t="shared" si="20"/>
        <v>#REF!</v>
      </c>
      <c r="O104" s="195">
        <v>0</v>
      </c>
    </row>
    <row r="105" spans="1:15" s="136" customFormat="1" ht="14.25" x14ac:dyDescent="0.25">
      <c r="A105" s="194" t="s">
        <v>209</v>
      </c>
      <c r="B105" s="194" t="e">
        <f>IF(#REF!=A105,1,0)</f>
        <v>#REF!</v>
      </c>
      <c r="C105" s="194"/>
      <c r="D105" s="195"/>
      <c r="E105" s="196"/>
      <c r="F105" s="196" t="e">
        <f t="shared" si="16"/>
        <v>#REF!</v>
      </c>
      <c r="G105" s="196"/>
      <c r="H105" s="196" t="e">
        <f t="shared" si="17"/>
        <v>#REF!</v>
      </c>
      <c r="I105" s="195"/>
      <c r="J105" s="195" t="e">
        <f t="shared" si="18"/>
        <v>#REF!</v>
      </c>
      <c r="K105" s="195">
        <v>392</v>
      </c>
      <c r="L105" s="263"/>
      <c r="M105" s="293"/>
      <c r="N105" s="280" t="e">
        <f t="shared" si="20"/>
        <v>#REF!</v>
      </c>
      <c r="O105" s="195">
        <v>0</v>
      </c>
    </row>
    <row r="106" spans="1:15" s="136" customFormat="1" ht="14.25" x14ac:dyDescent="0.25">
      <c r="A106" s="194" t="s">
        <v>210</v>
      </c>
      <c r="B106" s="194" t="e">
        <f>IF(#REF!=A106,1,0)</f>
        <v>#REF!</v>
      </c>
      <c r="C106" s="194"/>
      <c r="D106" s="195"/>
      <c r="E106" s="196"/>
      <c r="F106" s="196" t="e">
        <f t="shared" si="16"/>
        <v>#REF!</v>
      </c>
      <c r="G106" s="196"/>
      <c r="H106" s="196" t="e">
        <f t="shared" si="17"/>
        <v>#REF!</v>
      </c>
      <c r="I106" s="195"/>
      <c r="J106" s="195" t="e">
        <f t="shared" si="18"/>
        <v>#REF!</v>
      </c>
      <c r="K106" s="195">
        <v>15</v>
      </c>
      <c r="L106" s="263"/>
      <c r="M106" s="293"/>
      <c r="N106" s="280" t="e">
        <f t="shared" si="20"/>
        <v>#REF!</v>
      </c>
      <c r="O106" s="195">
        <v>0</v>
      </c>
    </row>
    <row r="107" spans="1:15" s="136" customFormat="1" ht="14.25" x14ac:dyDescent="0.25">
      <c r="A107" s="194" t="s">
        <v>211</v>
      </c>
      <c r="B107" s="194" t="e">
        <f>IF(#REF!=A107,1,0)</f>
        <v>#REF!</v>
      </c>
      <c r="C107" s="194"/>
      <c r="D107" s="195"/>
      <c r="E107" s="196"/>
      <c r="F107" s="196" t="e">
        <f t="shared" si="16"/>
        <v>#REF!</v>
      </c>
      <c r="G107" s="196"/>
      <c r="H107" s="196" t="e">
        <f t="shared" si="17"/>
        <v>#REF!</v>
      </c>
      <c r="I107" s="195"/>
      <c r="J107" s="195" t="e">
        <f t="shared" si="18"/>
        <v>#REF!</v>
      </c>
      <c r="K107" s="195">
        <v>43</v>
      </c>
      <c r="L107" s="263"/>
      <c r="M107" s="293"/>
      <c r="N107" s="280" t="e">
        <f t="shared" si="20"/>
        <v>#REF!</v>
      </c>
      <c r="O107" s="195">
        <v>0</v>
      </c>
    </row>
    <row r="108" spans="1:15" s="136" customFormat="1" ht="14.25" x14ac:dyDescent="0.25">
      <c r="A108" s="194" t="s">
        <v>212</v>
      </c>
      <c r="B108" s="194" t="e">
        <f>IF(#REF!=A108,1,0)</f>
        <v>#REF!</v>
      </c>
      <c r="C108" s="194"/>
      <c r="D108" s="195"/>
      <c r="E108" s="196"/>
      <c r="F108" s="196" t="e">
        <f t="shared" si="16"/>
        <v>#REF!</v>
      </c>
      <c r="G108" s="196"/>
      <c r="H108" s="196" t="e">
        <f t="shared" si="17"/>
        <v>#REF!</v>
      </c>
      <c r="I108" s="195"/>
      <c r="J108" s="195" t="e">
        <f t="shared" si="18"/>
        <v>#REF!</v>
      </c>
      <c r="K108" s="195">
        <v>81</v>
      </c>
      <c r="L108" s="263"/>
      <c r="M108" s="293"/>
      <c r="N108" s="280" t="e">
        <f t="shared" si="20"/>
        <v>#REF!</v>
      </c>
      <c r="O108" s="195">
        <v>0</v>
      </c>
    </row>
    <row r="109" spans="1:15" s="136" customFormat="1" ht="14.25" x14ac:dyDescent="0.25">
      <c r="A109" s="194" t="s">
        <v>213</v>
      </c>
      <c r="B109" s="194" t="e">
        <f>IF(#REF!=A109,1,0)</f>
        <v>#REF!</v>
      </c>
      <c r="C109" s="194"/>
      <c r="D109" s="195"/>
      <c r="E109" s="196"/>
      <c r="F109" s="196" t="e">
        <f t="shared" si="16"/>
        <v>#REF!</v>
      </c>
      <c r="G109" s="196"/>
      <c r="H109" s="196" t="e">
        <f t="shared" si="17"/>
        <v>#REF!</v>
      </c>
      <c r="I109" s="195"/>
      <c r="J109" s="195" t="e">
        <f t="shared" si="18"/>
        <v>#REF!</v>
      </c>
      <c r="K109" s="195">
        <v>562</v>
      </c>
      <c r="L109" s="263"/>
      <c r="M109" s="293"/>
      <c r="N109" s="280" t="e">
        <f t="shared" si="20"/>
        <v>#REF!</v>
      </c>
      <c r="O109" s="195">
        <v>0</v>
      </c>
    </row>
    <row r="110" spans="1:15" s="136" customFormat="1" ht="14.25" x14ac:dyDescent="0.25">
      <c r="A110" s="194" t="s">
        <v>214</v>
      </c>
      <c r="B110" s="194" t="e">
        <f>IF(#REF!=A110,1,0)</f>
        <v>#REF!</v>
      </c>
      <c r="C110" s="194"/>
      <c r="D110" s="195"/>
      <c r="E110" s="196"/>
      <c r="F110" s="196" t="e">
        <f t="shared" si="16"/>
        <v>#REF!</v>
      </c>
      <c r="G110" s="196"/>
      <c r="H110" s="196" t="e">
        <f t="shared" si="17"/>
        <v>#REF!</v>
      </c>
      <c r="I110" s="195"/>
      <c r="J110" s="195" t="e">
        <f t="shared" si="18"/>
        <v>#REF!</v>
      </c>
      <c r="K110" s="195">
        <v>40</v>
      </c>
      <c r="L110" s="263"/>
      <c r="M110" s="293"/>
      <c r="N110" s="280" t="e">
        <f t="shared" si="20"/>
        <v>#REF!</v>
      </c>
      <c r="O110" s="195">
        <v>0</v>
      </c>
    </row>
    <row r="111" spans="1:15" s="136" customFormat="1" ht="14.25" x14ac:dyDescent="0.25">
      <c r="A111" s="194" t="s">
        <v>215</v>
      </c>
      <c r="B111" s="194" t="e">
        <f>IF(#REF!=A111,1,0)</f>
        <v>#REF!</v>
      </c>
      <c r="C111" s="194"/>
      <c r="D111" s="195"/>
      <c r="E111" s="196"/>
      <c r="F111" s="196" t="e">
        <f t="shared" si="16"/>
        <v>#REF!</v>
      </c>
      <c r="G111" s="196"/>
      <c r="H111" s="196" t="e">
        <f t="shared" si="17"/>
        <v>#REF!</v>
      </c>
      <c r="I111" s="195"/>
      <c r="J111" s="195" t="e">
        <f t="shared" si="18"/>
        <v>#REF!</v>
      </c>
      <c r="K111" s="195">
        <v>26</v>
      </c>
      <c r="L111" s="263"/>
      <c r="M111" s="293"/>
      <c r="N111" s="280" t="e">
        <f t="shared" si="20"/>
        <v>#REF!</v>
      </c>
      <c r="O111" s="195">
        <v>0</v>
      </c>
    </row>
    <row r="112" spans="1:15" s="136" customFormat="1" ht="14.25" x14ac:dyDescent="0.25">
      <c r="A112" s="194" t="s">
        <v>216</v>
      </c>
      <c r="B112" s="194" t="e">
        <f>IF(#REF!=A112,1,0)</f>
        <v>#REF!</v>
      </c>
      <c r="C112" s="194"/>
      <c r="D112" s="195"/>
      <c r="E112" s="196"/>
      <c r="F112" s="196" t="e">
        <f t="shared" si="16"/>
        <v>#REF!</v>
      </c>
      <c r="G112" s="196"/>
      <c r="H112" s="196" t="e">
        <f t="shared" si="17"/>
        <v>#REF!</v>
      </c>
      <c r="I112" s="195"/>
      <c r="J112" s="195" t="e">
        <f t="shared" si="18"/>
        <v>#REF!</v>
      </c>
      <c r="K112" s="195">
        <v>254</v>
      </c>
      <c r="L112" s="263"/>
      <c r="M112" s="293"/>
      <c r="N112" s="280" t="e">
        <f t="shared" si="20"/>
        <v>#REF!</v>
      </c>
      <c r="O112" s="195">
        <v>0</v>
      </c>
    </row>
    <row r="113" spans="1:15" s="136" customFormat="1" ht="14.25" x14ac:dyDescent="0.25">
      <c r="A113" s="194" t="s">
        <v>217</v>
      </c>
      <c r="B113" s="194" t="e">
        <f>IF(#REF!=A113,1,0)</f>
        <v>#REF!</v>
      </c>
      <c r="C113" s="194"/>
      <c r="D113" s="195"/>
      <c r="E113" s="196"/>
      <c r="F113" s="196" t="e">
        <f t="shared" si="16"/>
        <v>#REF!</v>
      </c>
      <c r="G113" s="196"/>
      <c r="H113" s="196" t="e">
        <f t="shared" si="17"/>
        <v>#REF!</v>
      </c>
      <c r="I113" s="195"/>
      <c r="J113" s="195" t="e">
        <f t="shared" si="18"/>
        <v>#REF!</v>
      </c>
      <c r="K113" s="195">
        <v>272</v>
      </c>
      <c r="L113" s="263"/>
      <c r="M113" s="293"/>
      <c r="N113" s="280" t="e">
        <f t="shared" si="20"/>
        <v>#REF!</v>
      </c>
      <c r="O113" s="195">
        <v>0</v>
      </c>
    </row>
    <row r="114" spans="1:15" s="136" customFormat="1" ht="14.25" x14ac:dyDescent="0.25">
      <c r="A114" s="194" t="s">
        <v>218</v>
      </c>
      <c r="B114" s="194" t="e">
        <f>IF(#REF!=A114,1,0)</f>
        <v>#REF!</v>
      </c>
      <c r="C114" s="194"/>
      <c r="D114" s="195"/>
      <c r="E114" s="196"/>
      <c r="F114" s="196" t="e">
        <f t="shared" si="16"/>
        <v>#REF!</v>
      </c>
      <c r="G114" s="196"/>
      <c r="H114" s="196" t="e">
        <f t="shared" si="17"/>
        <v>#REF!</v>
      </c>
      <c r="I114" s="195"/>
      <c r="J114" s="195" t="e">
        <f t="shared" si="18"/>
        <v>#REF!</v>
      </c>
      <c r="K114" s="195">
        <v>22</v>
      </c>
      <c r="L114" s="263"/>
      <c r="M114" s="293"/>
      <c r="N114" s="280" t="e">
        <f t="shared" si="20"/>
        <v>#REF!</v>
      </c>
      <c r="O114" s="195">
        <v>0</v>
      </c>
    </row>
    <row r="115" spans="1:15" s="136" customFormat="1" ht="14.25" x14ac:dyDescent="0.25">
      <c r="A115" s="221" t="s">
        <v>219</v>
      </c>
      <c r="B115" s="221" t="e">
        <f>IF(#REF!=A115,1,0)</f>
        <v>#REF!</v>
      </c>
      <c r="C115" s="221"/>
      <c r="D115" s="222" t="s">
        <v>220</v>
      </c>
      <c r="E115" s="223">
        <v>0.06</v>
      </c>
      <c r="F115" s="223" t="e">
        <f t="shared" si="16"/>
        <v>#REF!</v>
      </c>
      <c r="G115" s="223">
        <v>0.94</v>
      </c>
      <c r="H115" s="223" t="e">
        <f t="shared" si="17"/>
        <v>#REF!</v>
      </c>
      <c r="I115" s="222">
        <v>700</v>
      </c>
      <c r="J115" s="222" t="e">
        <f t="shared" si="18"/>
        <v>#REF!</v>
      </c>
      <c r="K115" s="222">
        <v>17</v>
      </c>
      <c r="L115" s="267">
        <v>0.55000000000000004</v>
      </c>
      <c r="M115" s="299"/>
      <c r="N115" s="287" t="e">
        <f t="shared" si="20"/>
        <v>#REF!</v>
      </c>
      <c r="O115" s="222">
        <v>0</v>
      </c>
    </row>
    <row r="116" spans="1:15" s="136" customFormat="1" ht="14.25" x14ac:dyDescent="0.25">
      <c r="A116" s="194" t="s">
        <v>221</v>
      </c>
      <c r="B116" s="194" t="e">
        <f>IF(#REF!=A116,1,0)</f>
        <v>#REF!</v>
      </c>
      <c r="C116" s="194"/>
      <c r="D116" s="195"/>
      <c r="E116" s="196"/>
      <c r="F116" s="196" t="e">
        <f t="shared" si="16"/>
        <v>#REF!</v>
      </c>
      <c r="G116" s="196"/>
      <c r="H116" s="196" t="e">
        <f t="shared" si="17"/>
        <v>#REF!</v>
      </c>
      <c r="I116" s="195"/>
      <c r="J116" s="195" t="e">
        <f t="shared" si="18"/>
        <v>#REF!</v>
      </c>
      <c r="K116" s="195">
        <v>172</v>
      </c>
      <c r="L116" s="263"/>
      <c r="M116" s="293"/>
      <c r="N116" s="280" t="e">
        <f t="shared" si="20"/>
        <v>#REF!</v>
      </c>
      <c r="O116" s="195">
        <v>0</v>
      </c>
    </row>
    <row r="117" spans="1:15" s="136" customFormat="1" ht="14.25" x14ac:dyDescent="0.25">
      <c r="A117" s="221" t="s">
        <v>33</v>
      </c>
      <c r="B117" s="221" t="e">
        <f>IF(#REF!=A117,1,0)</f>
        <v>#REF!</v>
      </c>
      <c r="C117" s="221"/>
      <c r="D117" s="222" t="s">
        <v>220</v>
      </c>
      <c r="E117" s="223">
        <v>1</v>
      </c>
      <c r="F117" s="223" t="e">
        <f t="shared" si="16"/>
        <v>#REF!</v>
      </c>
      <c r="G117" s="223">
        <v>0.99</v>
      </c>
      <c r="H117" s="223" t="e">
        <f t="shared" si="17"/>
        <v>#REF!</v>
      </c>
      <c r="I117" s="222">
        <v>850</v>
      </c>
      <c r="J117" s="222" t="e">
        <f t="shared" si="18"/>
        <v>#REF!</v>
      </c>
      <c r="K117" s="222">
        <v>421</v>
      </c>
      <c r="L117" s="267">
        <v>0.55000000000000004</v>
      </c>
      <c r="M117" s="299"/>
      <c r="N117" s="287" t="e">
        <f t="shared" si="20"/>
        <v>#REF!</v>
      </c>
      <c r="O117" s="222">
        <v>0</v>
      </c>
    </row>
    <row r="118" spans="1:15" s="136" customFormat="1" ht="14.25" x14ac:dyDescent="0.25">
      <c r="A118" s="194" t="s">
        <v>222</v>
      </c>
      <c r="B118" s="194" t="e">
        <f>IF(#REF!=A118,1,0)</f>
        <v>#REF!</v>
      </c>
      <c r="C118" s="194"/>
      <c r="D118" s="195"/>
      <c r="E118" s="196"/>
      <c r="F118" s="196" t="e">
        <f t="shared" si="16"/>
        <v>#REF!</v>
      </c>
      <c r="G118" s="196"/>
      <c r="H118" s="196" t="e">
        <f t="shared" si="17"/>
        <v>#REF!</v>
      </c>
      <c r="I118" s="195"/>
      <c r="J118" s="195" t="e">
        <f t="shared" si="18"/>
        <v>#REF!</v>
      </c>
      <c r="K118" s="195">
        <v>43</v>
      </c>
      <c r="L118" s="263"/>
      <c r="M118" s="293"/>
      <c r="N118" s="280" t="e">
        <f t="shared" si="20"/>
        <v>#REF!</v>
      </c>
      <c r="O118" s="195">
        <v>0</v>
      </c>
    </row>
    <row r="119" spans="1:15" s="136" customFormat="1" ht="14.25" x14ac:dyDescent="0.25">
      <c r="A119" s="194" t="s">
        <v>223</v>
      </c>
      <c r="B119" s="194" t="e">
        <f>IF(#REF!=A119,1,0)</f>
        <v>#REF!</v>
      </c>
      <c r="C119" s="194"/>
      <c r="D119" s="195"/>
      <c r="E119" s="196"/>
      <c r="F119" s="196" t="e">
        <f t="shared" si="16"/>
        <v>#REF!</v>
      </c>
      <c r="G119" s="196"/>
      <c r="H119" s="196" t="e">
        <f t="shared" si="17"/>
        <v>#REF!</v>
      </c>
      <c r="I119" s="195"/>
      <c r="J119" s="195" t="e">
        <f t="shared" si="18"/>
        <v>#REF!</v>
      </c>
      <c r="K119" s="195">
        <v>58</v>
      </c>
      <c r="L119" s="263"/>
      <c r="M119" s="293"/>
      <c r="N119" s="280" t="e">
        <f t="shared" si="20"/>
        <v>#REF!</v>
      </c>
      <c r="O119" s="195">
        <v>0</v>
      </c>
    </row>
    <row r="120" spans="1:15" s="136" customFormat="1" ht="14.25" x14ac:dyDescent="0.25">
      <c r="A120" s="194" t="s">
        <v>224</v>
      </c>
      <c r="B120" s="194" t="e">
        <f>IF(#REF!=A120,1,0)</f>
        <v>#REF!</v>
      </c>
      <c r="C120" s="194"/>
      <c r="D120" s="195"/>
      <c r="E120" s="196"/>
      <c r="F120" s="196" t="e">
        <f t="shared" si="16"/>
        <v>#REF!</v>
      </c>
      <c r="G120" s="196"/>
      <c r="H120" s="196" t="e">
        <f t="shared" si="17"/>
        <v>#REF!</v>
      </c>
      <c r="I120" s="195"/>
      <c r="J120" s="195" t="e">
        <f t="shared" si="18"/>
        <v>#REF!</v>
      </c>
      <c r="K120" s="195">
        <v>11</v>
      </c>
      <c r="L120" s="263"/>
      <c r="M120" s="293"/>
      <c r="N120" s="280" t="e">
        <f t="shared" si="20"/>
        <v>#REF!</v>
      </c>
      <c r="O120" s="195">
        <v>0</v>
      </c>
    </row>
    <row r="121" spans="1:15" s="136" customFormat="1" ht="14.25" x14ac:dyDescent="0.25">
      <c r="A121" s="194" t="s">
        <v>225</v>
      </c>
      <c r="B121" s="194" t="e">
        <f>IF(#REF!=A121,1,0)</f>
        <v>#REF!</v>
      </c>
      <c r="C121" s="194"/>
      <c r="D121" s="195"/>
      <c r="E121" s="196"/>
      <c r="F121" s="196" t="e">
        <f t="shared" si="16"/>
        <v>#REF!</v>
      </c>
      <c r="G121" s="196"/>
      <c r="H121" s="196" t="e">
        <f t="shared" si="17"/>
        <v>#REF!</v>
      </c>
      <c r="I121" s="195"/>
      <c r="J121" s="195" t="e">
        <f t="shared" si="18"/>
        <v>#REF!</v>
      </c>
      <c r="K121" s="195">
        <v>92</v>
      </c>
      <c r="L121" s="263"/>
      <c r="M121" s="293"/>
      <c r="N121" s="280" t="e">
        <f t="shared" si="20"/>
        <v>#REF!</v>
      </c>
      <c r="O121" s="195">
        <v>0</v>
      </c>
    </row>
    <row r="122" spans="1:15" s="136" customFormat="1" ht="14.25" x14ac:dyDescent="0.25">
      <c r="A122" s="194" t="s">
        <v>226</v>
      </c>
      <c r="B122" s="194" t="e">
        <f>IF(#REF!=A122,1,0)</f>
        <v>#REF!</v>
      </c>
      <c r="C122" s="194"/>
      <c r="D122" s="195"/>
      <c r="E122" s="196"/>
      <c r="F122" s="196" t="e">
        <f t="shared" si="16"/>
        <v>#REF!</v>
      </c>
      <c r="G122" s="196"/>
      <c r="H122" s="196" t="e">
        <f t="shared" si="17"/>
        <v>#REF!</v>
      </c>
      <c r="I122" s="195"/>
      <c r="J122" s="195" t="e">
        <f t="shared" si="18"/>
        <v>#REF!</v>
      </c>
      <c r="K122" s="195">
        <v>66</v>
      </c>
      <c r="L122" s="263"/>
      <c r="M122" s="293"/>
      <c r="N122" s="280" t="e">
        <f t="shared" si="20"/>
        <v>#REF!</v>
      </c>
      <c r="O122" s="195">
        <v>0</v>
      </c>
    </row>
    <row r="123" spans="1:15" s="136" customFormat="1" ht="14.25" x14ac:dyDescent="0.25">
      <c r="A123" s="194" t="s">
        <v>227</v>
      </c>
      <c r="B123" s="194" t="e">
        <f>IF(#REF!=A123,1,0)</f>
        <v>#REF!</v>
      </c>
      <c r="C123" s="194"/>
      <c r="D123" s="195"/>
      <c r="E123" s="196"/>
      <c r="F123" s="196" t="e">
        <f t="shared" si="16"/>
        <v>#REF!</v>
      </c>
      <c r="G123" s="196"/>
      <c r="H123" s="196" t="e">
        <f t="shared" si="17"/>
        <v>#REF!</v>
      </c>
      <c r="I123" s="195"/>
      <c r="J123" s="195" t="e">
        <f t="shared" si="18"/>
        <v>#REF!</v>
      </c>
      <c r="K123" s="195">
        <v>3</v>
      </c>
      <c r="L123" s="263"/>
      <c r="M123" s="293"/>
      <c r="N123" s="280" t="e">
        <f t="shared" si="20"/>
        <v>#REF!</v>
      </c>
      <c r="O123" s="195">
        <v>0</v>
      </c>
    </row>
    <row r="124" spans="1:15" s="136" customFormat="1" ht="14.25" x14ac:dyDescent="0.25">
      <c r="A124" s="194" t="s">
        <v>228</v>
      </c>
      <c r="B124" s="194" t="e">
        <f>IF(#REF!=A124,1,0)</f>
        <v>#REF!</v>
      </c>
      <c r="C124" s="194"/>
      <c r="D124" s="195"/>
      <c r="E124" s="196"/>
      <c r="F124" s="196" t="e">
        <f t="shared" si="16"/>
        <v>#REF!</v>
      </c>
      <c r="G124" s="196"/>
      <c r="H124" s="196" t="e">
        <f t="shared" si="17"/>
        <v>#REF!</v>
      </c>
      <c r="I124" s="195"/>
      <c r="J124" s="195" t="e">
        <f t="shared" si="18"/>
        <v>#REF!</v>
      </c>
      <c r="K124" s="195">
        <v>61</v>
      </c>
      <c r="L124" s="263"/>
      <c r="M124" s="293"/>
      <c r="N124" s="280" t="e">
        <f t="shared" si="20"/>
        <v>#REF!</v>
      </c>
      <c r="O124" s="195">
        <v>0</v>
      </c>
    </row>
    <row r="125" spans="1:15" s="136" customFormat="1" ht="14.25" x14ac:dyDescent="0.25">
      <c r="A125" s="194" t="s">
        <v>229</v>
      </c>
      <c r="B125" s="194" t="e">
        <f>IF(#REF!=A125,1,0)</f>
        <v>#REF!</v>
      </c>
      <c r="C125" s="194"/>
      <c r="D125" s="195"/>
      <c r="E125" s="196"/>
      <c r="F125" s="196" t="e">
        <f t="shared" si="16"/>
        <v>#REF!</v>
      </c>
      <c r="G125" s="196"/>
      <c r="H125" s="196" t="e">
        <f t="shared" si="17"/>
        <v>#REF!</v>
      </c>
      <c r="I125" s="195"/>
      <c r="J125" s="195" t="e">
        <f t="shared" si="18"/>
        <v>#REF!</v>
      </c>
      <c r="K125" s="195">
        <v>66</v>
      </c>
      <c r="L125" s="263"/>
      <c r="M125" s="293"/>
      <c r="N125" s="280" t="e">
        <f t="shared" si="20"/>
        <v>#REF!</v>
      </c>
      <c r="O125" s="195">
        <v>0</v>
      </c>
    </row>
    <row r="126" spans="1:15" s="136" customFormat="1" ht="14.25" x14ac:dyDescent="0.25">
      <c r="A126" s="194" t="s">
        <v>230</v>
      </c>
      <c r="B126" s="194" t="e">
        <f>IF(#REF!=A126,1,0)</f>
        <v>#REF!</v>
      </c>
      <c r="C126" s="194"/>
      <c r="D126" s="195"/>
      <c r="E126" s="196"/>
      <c r="F126" s="196" t="e">
        <f t="shared" si="16"/>
        <v>#REF!</v>
      </c>
      <c r="G126" s="196"/>
      <c r="H126" s="196" t="e">
        <f t="shared" si="17"/>
        <v>#REF!</v>
      </c>
      <c r="I126" s="195"/>
      <c r="J126" s="195" t="e">
        <f t="shared" si="18"/>
        <v>#REF!</v>
      </c>
      <c r="K126" s="195">
        <v>18</v>
      </c>
      <c r="L126" s="263"/>
      <c r="M126" s="293"/>
      <c r="N126" s="280" t="e">
        <f t="shared" si="20"/>
        <v>#REF!</v>
      </c>
      <c r="O126" s="195">
        <v>0</v>
      </c>
    </row>
    <row r="127" spans="1:15" s="136" customFormat="1" ht="14.25" x14ac:dyDescent="0.25">
      <c r="A127" s="221" t="s">
        <v>231</v>
      </c>
      <c r="B127" s="221" t="e">
        <f>IF(#REF!=A127,1,0)</f>
        <v>#REF!</v>
      </c>
      <c r="C127" s="221"/>
      <c r="D127" s="222" t="s">
        <v>220</v>
      </c>
      <c r="E127" s="223">
        <v>0.06</v>
      </c>
      <c r="F127" s="223" t="e">
        <f t="shared" si="16"/>
        <v>#REF!</v>
      </c>
      <c r="G127" s="223">
        <v>0.85</v>
      </c>
      <c r="H127" s="223" t="e">
        <f t="shared" si="17"/>
        <v>#REF!</v>
      </c>
      <c r="I127" s="222">
        <v>670</v>
      </c>
      <c r="J127" s="222" t="e">
        <f t="shared" si="18"/>
        <v>#REF!</v>
      </c>
      <c r="K127" s="222">
        <v>17</v>
      </c>
      <c r="L127" s="267">
        <v>0.54</v>
      </c>
      <c r="M127" s="299"/>
      <c r="N127" s="287" t="e">
        <f t="shared" si="20"/>
        <v>#REF!</v>
      </c>
      <c r="O127" s="222">
        <v>0</v>
      </c>
    </row>
    <row r="128" spans="1:15" s="136" customFormat="1" ht="14.25" x14ac:dyDescent="0.25">
      <c r="A128" s="194" t="s">
        <v>232</v>
      </c>
      <c r="B128" s="194" t="e">
        <f>IF(#REF!=A128,1,0)</f>
        <v>#REF!</v>
      </c>
      <c r="C128" s="194"/>
      <c r="D128" s="195"/>
      <c r="E128" s="196"/>
      <c r="F128" s="196" t="e">
        <f t="shared" si="16"/>
        <v>#REF!</v>
      </c>
      <c r="G128" s="196"/>
      <c r="H128" s="196" t="e">
        <f t="shared" si="17"/>
        <v>#REF!</v>
      </c>
      <c r="I128" s="195"/>
      <c r="J128" s="195" t="e">
        <f t="shared" si="18"/>
        <v>#REF!</v>
      </c>
      <c r="K128" s="195">
        <v>270</v>
      </c>
      <c r="L128" s="263"/>
      <c r="M128" s="293"/>
      <c r="N128" s="280" t="e">
        <f t="shared" si="20"/>
        <v>#REF!</v>
      </c>
      <c r="O128" s="195">
        <v>0</v>
      </c>
    </row>
    <row r="129" spans="1:15" s="136" customFormat="1" ht="14.25" x14ac:dyDescent="0.25">
      <c r="A129" s="194" t="s">
        <v>233</v>
      </c>
      <c r="B129" s="194" t="e">
        <f>IF(#REF!=A129,1,0)</f>
        <v>#REF!</v>
      </c>
      <c r="C129" s="194"/>
      <c r="D129" s="195"/>
      <c r="E129" s="196"/>
      <c r="F129" s="196" t="e">
        <f t="shared" si="16"/>
        <v>#REF!</v>
      </c>
      <c r="G129" s="196"/>
      <c r="H129" s="196" t="e">
        <f t="shared" si="17"/>
        <v>#REF!</v>
      </c>
      <c r="I129" s="195"/>
      <c r="J129" s="195" t="e">
        <f t="shared" si="18"/>
        <v>#REF!</v>
      </c>
      <c r="K129" s="195">
        <v>44</v>
      </c>
      <c r="L129" s="263"/>
      <c r="M129" s="293"/>
      <c r="N129" s="280" t="e">
        <f t="shared" si="20"/>
        <v>#REF!</v>
      </c>
      <c r="O129" s="195">
        <v>0</v>
      </c>
    </row>
    <row r="130" spans="1:15" s="136" customFormat="1" ht="14.25" x14ac:dyDescent="0.25">
      <c r="A130" s="194" t="s">
        <v>234</v>
      </c>
      <c r="B130" s="194" t="e">
        <f>IF(#REF!=A130,1,0)</f>
        <v>#REF!</v>
      </c>
      <c r="C130" s="194"/>
      <c r="D130" s="195"/>
      <c r="E130" s="196"/>
      <c r="F130" s="196" t="e">
        <f t="shared" si="16"/>
        <v>#REF!</v>
      </c>
      <c r="G130" s="196"/>
      <c r="H130" s="196" t="e">
        <f t="shared" si="17"/>
        <v>#REF!</v>
      </c>
      <c r="I130" s="195"/>
      <c r="J130" s="195" t="e">
        <f t="shared" si="18"/>
        <v>#REF!</v>
      </c>
      <c r="K130" s="195">
        <v>18</v>
      </c>
      <c r="L130" s="263"/>
      <c r="M130" s="293"/>
      <c r="N130" s="280" t="e">
        <f t="shared" si="20"/>
        <v>#REF!</v>
      </c>
      <c r="O130" s="195">
        <v>0</v>
      </c>
    </row>
    <row r="131" spans="1:15" s="136" customFormat="1" ht="14.25" x14ac:dyDescent="0.25">
      <c r="A131" s="194" t="s">
        <v>235</v>
      </c>
      <c r="B131" s="194" t="e">
        <f>IF(#REF!=A131,1,0)</f>
        <v>#REF!</v>
      </c>
      <c r="C131" s="194"/>
      <c r="D131" s="195"/>
      <c r="E131" s="196"/>
      <c r="F131" s="196" t="e">
        <f t="shared" si="16"/>
        <v>#REF!</v>
      </c>
      <c r="G131" s="196"/>
      <c r="H131" s="196" t="e">
        <f t="shared" si="17"/>
        <v>#REF!</v>
      </c>
      <c r="I131" s="195"/>
      <c r="J131" s="195" t="e">
        <f t="shared" si="18"/>
        <v>#REF!</v>
      </c>
      <c r="K131" s="195">
        <v>27</v>
      </c>
      <c r="L131" s="263"/>
      <c r="M131" s="293"/>
      <c r="N131" s="280" t="e">
        <f t="shared" si="20"/>
        <v>#REF!</v>
      </c>
      <c r="O131" s="195">
        <v>0</v>
      </c>
    </row>
    <row r="132" spans="1:15" s="136" customFormat="1" ht="14.25" x14ac:dyDescent="0.25">
      <c r="A132" s="194" t="s">
        <v>236</v>
      </c>
      <c r="B132" s="194" t="e">
        <f>IF(#REF!=A132,1,0)</f>
        <v>#REF!</v>
      </c>
      <c r="C132" s="194"/>
      <c r="D132" s="195"/>
      <c r="E132" s="196"/>
      <c r="F132" s="196" t="e">
        <f t="shared" si="16"/>
        <v>#REF!</v>
      </c>
      <c r="G132" s="196"/>
      <c r="H132" s="196" t="e">
        <f t="shared" si="17"/>
        <v>#REF!</v>
      </c>
      <c r="I132" s="195"/>
      <c r="J132" s="195" t="e">
        <f t="shared" si="18"/>
        <v>#REF!</v>
      </c>
      <c r="K132" s="195">
        <v>33</v>
      </c>
      <c r="L132" s="263"/>
      <c r="M132" s="293"/>
      <c r="N132" s="280" t="e">
        <f t="shared" si="20"/>
        <v>#REF!</v>
      </c>
      <c r="O132" s="195">
        <v>0</v>
      </c>
    </row>
    <row r="133" spans="1:15" s="136" customFormat="1" ht="14.25" x14ac:dyDescent="0.25">
      <c r="A133" s="194" t="s">
        <v>237</v>
      </c>
      <c r="B133" s="194" t="e">
        <f>IF(#REF!=A133,1,0)</f>
        <v>#REF!</v>
      </c>
      <c r="C133" s="194"/>
      <c r="D133" s="195"/>
      <c r="E133" s="196"/>
      <c r="F133" s="196" t="e">
        <f t="shared" si="16"/>
        <v>#REF!</v>
      </c>
      <c r="G133" s="196"/>
      <c r="H133" s="196" t="e">
        <f t="shared" si="17"/>
        <v>#REF!</v>
      </c>
      <c r="I133" s="195"/>
      <c r="J133" s="195" t="e">
        <f t="shared" si="18"/>
        <v>#REF!</v>
      </c>
      <c r="K133" s="195">
        <v>363</v>
      </c>
      <c r="L133" s="263"/>
      <c r="M133" s="293"/>
      <c r="N133" s="280" t="e">
        <f t="shared" si="20"/>
        <v>#REF!</v>
      </c>
      <c r="O133" s="195">
        <v>0</v>
      </c>
    </row>
    <row r="134" spans="1:15" s="136" customFormat="1" ht="14.25" x14ac:dyDescent="0.25">
      <c r="A134" s="194" t="s">
        <v>238</v>
      </c>
      <c r="B134" s="194" t="e">
        <f>IF(#REF!=A134,1,0)</f>
        <v>#REF!</v>
      </c>
      <c r="C134" s="194"/>
      <c r="D134" s="195"/>
      <c r="E134" s="196"/>
      <c r="F134" s="196" t="e">
        <f t="shared" si="16"/>
        <v>#REF!</v>
      </c>
      <c r="G134" s="196"/>
      <c r="H134" s="196" t="e">
        <f t="shared" si="17"/>
        <v>#REF!</v>
      </c>
      <c r="I134" s="195"/>
      <c r="J134" s="195" t="e">
        <f t="shared" si="18"/>
        <v>#REF!</v>
      </c>
      <c r="K134" s="195">
        <v>166</v>
      </c>
      <c r="L134" s="263"/>
      <c r="M134" s="293"/>
      <c r="N134" s="280" t="e">
        <f t="shared" si="20"/>
        <v>#REF!</v>
      </c>
      <c r="O134" s="195">
        <v>0</v>
      </c>
    </row>
    <row r="135" spans="1:15" s="136" customFormat="1" ht="14.25" x14ac:dyDescent="0.25">
      <c r="A135" s="194" t="s">
        <v>239</v>
      </c>
      <c r="B135" s="194" t="e">
        <f>IF(#REF!=A135,1,0)</f>
        <v>#REF!</v>
      </c>
      <c r="C135" s="194"/>
      <c r="D135" s="195"/>
      <c r="E135" s="196"/>
      <c r="F135" s="196" t="e">
        <f t="shared" si="16"/>
        <v>#REF!</v>
      </c>
      <c r="G135" s="196"/>
      <c r="H135" s="196" t="e">
        <f t="shared" si="17"/>
        <v>#REF!</v>
      </c>
      <c r="I135" s="195"/>
      <c r="J135" s="195" t="e">
        <f t="shared" si="18"/>
        <v>#REF!</v>
      </c>
      <c r="K135" s="195">
        <v>70</v>
      </c>
      <c r="L135" s="263"/>
      <c r="M135" s="293"/>
      <c r="N135" s="280" t="e">
        <f t="shared" si="20"/>
        <v>#REF!</v>
      </c>
      <c r="O135" s="195">
        <v>0</v>
      </c>
    </row>
    <row r="136" spans="1:15" s="136" customFormat="1" ht="14.25" x14ac:dyDescent="0.25">
      <c r="A136" s="194" t="s">
        <v>240</v>
      </c>
      <c r="B136" s="194" t="e">
        <f>IF(#REF!=A136,1,0)</f>
        <v>#REF!</v>
      </c>
      <c r="C136" s="194"/>
      <c r="D136" s="195"/>
      <c r="E136" s="196"/>
      <c r="F136" s="196" t="e">
        <f t="shared" si="16"/>
        <v>#REF!</v>
      </c>
      <c r="G136" s="196"/>
      <c r="H136" s="196" t="e">
        <f t="shared" si="17"/>
        <v>#REF!</v>
      </c>
      <c r="I136" s="195"/>
      <c r="J136" s="195" t="e">
        <f t="shared" si="18"/>
        <v>#REF!</v>
      </c>
      <c r="K136" s="195">
        <v>378</v>
      </c>
      <c r="L136" s="263"/>
      <c r="M136" s="293"/>
      <c r="N136" s="280" t="e">
        <f t="shared" si="20"/>
        <v>#REF!</v>
      </c>
      <c r="O136" s="195">
        <v>0</v>
      </c>
    </row>
    <row r="137" spans="1:15" s="136" customFormat="1" ht="14.25" x14ac:dyDescent="0.25">
      <c r="A137" s="194" t="s">
        <v>241</v>
      </c>
      <c r="B137" s="194" t="e">
        <f>IF(#REF!=A137,1,0)</f>
        <v>#REF!</v>
      </c>
      <c r="C137" s="194"/>
      <c r="D137" s="195"/>
      <c r="E137" s="196"/>
      <c r="F137" s="196" t="e">
        <f t="shared" si="16"/>
        <v>#REF!</v>
      </c>
      <c r="G137" s="196"/>
      <c r="H137" s="196" t="e">
        <f t="shared" si="17"/>
        <v>#REF!</v>
      </c>
      <c r="I137" s="195"/>
      <c r="J137" s="195" t="e">
        <f t="shared" si="18"/>
        <v>#REF!</v>
      </c>
      <c r="K137" s="195">
        <v>91</v>
      </c>
      <c r="L137" s="263"/>
      <c r="M137" s="293"/>
      <c r="N137" s="280" t="e">
        <f t="shared" si="20"/>
        <v>#REF!</v>
      </c>
      <c r="O137" s="195">
        <v>0</v>
      </c>
    </row>
    <row r="138" spans="1:15" s="136" customFormat="1" ht="14.25" x14ac:dyDescent="0.25">
      <c r="A138" s="194" t="s">
        <v>242</v>
      </c>
      <c r="B138" s="194" t="e">
        <f>IF(#REF!=A138,1,0)</f>
        <v>#REF!</v>
      </c>
      <c r="C138" s="194"/>
      <c r="D138" s="195"/>
      <c r="E138" s="196"/>
      <c r="F138" s="196" t="e">
        <f t="shared" si="16"/>
        <v>#REF!</v>
      </c>
      <c r="G138" s="196"/>
      <c r="H138" s="196" t="e">
        <f t="shared" si="17"/>
        <v>#REF!</v>
      </c>
      <c r="I138" s="195"/>
      <c r="J138" s="195" t="e">
        <f t="shared" si="18"/>
        <v>#REF!</v>
      </c>
      <c r="K138" s="195">
        <v>69</v>
      </c>
      <c r="L138" s="263"/>
      <c r="M138" s="293"/>
      <c r="N138" s="280" t="e">
        <f t="shared" si="20"/>
        <v>#REF!</v>
      </c>
      <c r="O138" s="195">
        <v>0</v>
      </c>
    </row>
    <row r="139" spans="1:15" s="136" customFormat="1" ht="14.25" x14ac:dyDescent="0.25">
      <c r="A139" s="194" t="s">
        <v>243</v>
      </c>
      <c r="B139" s="194" t="e">
        <f>IF(#REF!=A139,1,0)</f>
        <v>#REF!</v>
      </c>
      <c r="C139" s="194"/>
      <c r="D139" s="195"/>
      <c r="E139" s="196"/>
      <c r="F139" s="196" t="e">
        <f t="shared" si="16"/>
        <v>#REF!</v>
      </c>
      <c r="G139" s="196"/>
      <c r="H139" s="196" t="e">
        <f t="shared" si="17"/>
        <v>#REF!</v>
      </c>
      <c r="I139" s="195"/>
      <c r="J139" s="195" t="e">
        <f t="shared" si="18"/>
        <v>#REF!</v>
      </c>
      <c r="K139" s="195">
        <v>18</v>
      </c>
      <c r="L139" s="263"/>
      <c r="M139" s="293"/>
      <c r="N139" s="280" t="e">
        <f t="shared" si="20"/>
        <v>#REF!</v>
      </c>
      <c r="O139" s="195">
        <v>0</v>
      </c>
    </row>
    <row r="140" spans="1:15" s="136" customFormat="1" ht="14.25" x14ac:dyDescent="0.25">
      <c r="A140" s="194" t="s">
        <v>244</v>
      </c>
      <c r="B140" s="194" t="e">
        <f>IF(#REF!=A140,1,0)</f>
        <v>#REF!</v>
      </c>
      <c r="C140" s="194"/>
      <c r="D140" s="195"/>
      <c r="E140" s="196"/>
      <c r="F140" s="196" t="e">
        <f t="shared" si="16"/>
        <v>#REF!</v>
      </c>
      <c r="G140" s="196"/>
      <c r="H140" s="196" t="e">
        <f t="shared" si="17"/>
        <v>#REF!</v>
      </c>
      <c r="I140" s="195"/>
      <c r="J140" s="195" t="e">
        <f t="shared" si="18"/>
        <v>#REF!</v>
      </c>
      <c r="K140" s="195">
        <v>298</v>
      </c>
      <c r="L140" s="263"/>
      <c r="M140" s="293"/>
      <c r="N140" s="280" t="e">
        <f t="shared" si="20"/>
        <v>#REF!</v>
      </c>
      <c r="O140" s="195">
        <v>0</v>
      </c>
    </row>
    <row r="141" spans="1:15" s="136" customFormat="1" ht="14.25" x14ac:dyDescent="0.25">
      <c r="A141" s="194" t="s">
        <v>245</v>
      </c>
      <c r="B141" s="194" t="e">
        <f>IF(#REF!=A141,1,0)</f>
        <v>#REF!</v>
      </c>
      <c r="C141" s="194"/>
      <c r="D141" s="195"/>
      <c r="E141" s="196"/>
      <c r="F141" s="196" t="e">
        <f t="shared" si="16"/>
        <v>#REF!</v>
      </c>
      <c r="G141" s="196"/>
      <c r="H141" s="196" t="e">
        <f t="shared" si="17"/>
        <v>#REF!</v>
      </c>
      <c r="I141" s="195"/>
      <c r="J141" s="195" t="e">
        <f t="shared" si="18"/>
        <v>#REF!</v>
      </c>
      <c r="K141" s="195">
        <v>49</v>
      </c>
      <c r="L141" s="263"/>
      <c r="M141" s="293"/>
      <c r="N141" s="280" t="e">
        <f t="shared" si="20"/>
        <v>#REF!</v>
      </c>
      <c r="O141" s="195">
        <v>0</v>
      </c>
    </row>
    <row r="142" spans="1:15" s="136" customFormat="1" ht="14.25" x14ac:dyDescent="0.25">
      <c r="A142" s="194" t="s">
        <v>246</v>
      </c>
      <c r="B142" s="194" t="e">
        <f>IF(#REF!=A142,1,0)</f>
        <v>#REF!</v>
      </c>
      <c r="C142" s="194"/>
      <c r="D142" s="195"/>
      <c r="E142" s="196"/>
      <c r="F142" s="196" t="e">
        <f t="shared" si="16"/>
        <v>#REF!</v>
      </c>
      <c r="G142" s="196"/>
      <c r="H142" s="196" t="e">
        <f t="shared" si="17"/>
        <v>#REF!</v>
      </c>
      <c r="I142" s="195"/>
      <c r="J142" s="195" t="e">
        <f t="shared" si="18"/>
        <v>#REF!</v>
      </c>
      <c r="K142" s="195">
        <v>33</v>
      </c>
      <c r="L142" s="263"/>
      <c r="M142" s="293"/>
      <c r="N142" s="280" t="e">
        <f t="shared" si="20"/>
        <v>#REF!</v>
      </c>
      <c r="O142" s="195">
        <v>0</v>
      </c>
    </row>
    <row r="143" spans="1:15" s="136" customFormat="1" ht="14.25" x14ac:dyDescent="0.25">
      <c r="A143" s="194" t="s">
        <v>247</v>
      </c>
      <c r="B143" s="194" t="e">
        <f>IF(#REF!=A143,1,0)</f>
        <v>#REF!</v>
      </c>
      <c r="C143" s="194"/>
      <c r="D143" s="195"/>
      <c r="E143" s="196"/>
      <c r="F143" s="196" t="e">
        <f t="shared" si="16"/>
        <v>#REF!</v>
      </c>
      <c r="G143" s="196"/>
      <c r="H143" s="196" t="e">
        <f t="shared" si="17"/>
        <v>#REF!</v>
      </c>
      <c r="I143" s="195"/>
      <c r="J143" s="195" t="e">
        <f t="shared" si="18"/>
        <v>#REF!</v>
      </c>
      <c r="K143" s="195">
        <v>92</v>
      </c>
      <c r="L143" s="263"/>
      <c r="M143" s="293"/>
      <c r="N143" s="280" t="e">
        <f t="shared" si="20"/>
        <v>#REF!</v>
      </c>
      <c r="O143" s="195">
        <v>0</v>
      </c>
    </row>
    <row r="144" spans="1:15" s="136" customFormat="1" ht="14.25" x14ac:dyDescent="0.25">
      <c r="A144" s="194" t="s">
        <v>248</v>
      </c>
      <c r="B144" s="194" t="e">
        <f>IF(#REF!=A144,1,0)</f>
        <v>#REF!</v>
      </c>
      <c r="C144" s="194"/>
      <c r="D144" s="195"/>
      <c r="E144" s="196"/>
      <c r="F144" s="196" t="e">
        <f t="shared" si="16"/>
        <v>#REF!</v>
      </c>
      <c r="G144" s="196"/>
      <c r="H144" s="196" t="e">
        <f t="shared" si="17"/>
        <v>#REF!</v>
      </c>
      <c r="I144" s="195"/>
      <c r="J144" s="195" t="e">
        <f t="shared" si="18"/>
        <v>#REF!</v>
      </c>
      <c r="K144" s="195">
        <v>274</v>
      </c>
      <c r="L144" s="263"/>
      <c r="M144" s="293"/>
      <c r="N144" s="280" t="e">
        <f t="shared" si="20"/>
        <v>#REF!</v>
      </c>
      <c r="O144" s="195">
        <v>0</v>
      </c>
    </row>
    <row r="145" spans="1:15" s="136" customFormat="1" ht="14.25" x14ac:dyDescent="0.25">
      <c r="A145" s="194" t="s">
        <v>249</v>
      </c>
      <c r="B145" s="194" t="e">
        <f>IF(#REF!=A145,1,0)</f>
        <v>#REF!</v>
      </c>
      <c r="C145" s="194"/>
      <c r="D145" s="195"/>
      <c r="E145" s="196"/>
      <c r="F145" s="196" t="e">
        <f t="shared" si="16"/>
        <v>#REF!</v>
      </c>
      <c r="G145" s="196"/>
      <c r="H145" s="196" t="e">
        <f t="shared" si="17"/>
        <v>#REF!</v>
      </c>
      <c r="I145" s="195"/>
      <c r="J145" s="195" t="e">
        <f t="shared" si="18"/>
        <v>#REF!</v>
      </c>
      <c r="K145" s="195">
        <v>317</v>
      </c>
      <c r="L145" s="263"/>
      <c r="M145" s="293"/>
      <c r="N145" s="280" t="e">
        <f t="shared" si="20"/>
        <v>#REF!</v>
      </c>
      <c r="O145" s="195">
        <v>0</v>
      </c>
    </row>
    <row r="146" spans="1:15" s="136" customFormat="1" ht="14.25" x14ac:dyDescent="0.25">
      <c r="A146" s="194" t="s">
        <v>250</v>
      </c>
      <c r="B146" s="194" t="e">
        <f>IF(#REF!=A146,1,0)</f>
        <v>#REF!</v>
      </c>
      <c r="C146" s="194"/>
      <c r="D146" s="195"/>
      <c r="E146" s="196"/>
      <c r="F146" s="196" t="e">
        <f t="shared" si="16"/>
        <v>#REF!</v>
      </c>
      <c r="G146" s="196"/>
      <c r="H146" s="196" t="e">
        <f t="shared" si="17"/>
        <v>#REF!</v>
      </c>
      <c r="I146" s="195"/>
      <c r="J146" s="195" t="e">
        <f t="shared" si="18"/>
        <v>#REF!</v>
      </c>
      <c r="K146" s="195">
        <v>50</v>
      </c>
      <c r="L146" s="263"/>
      <c r="M146" s="293"/>
      <c r="N146" s="280" t="e">
        <f t="shared" si="20"/>
        <v>#REF!</v>
      </c>
      <c r="O146" s="195">
        <v>0</v>
      </c>
    </row>
    <row r="147" spans="1:15" s="136" customFormat="1" ht="14.25" x14ac:dyDescent="0.25">
      <c r="A147" s="194" t="s">
        <v>251</v>
      </c>
      <c r="B147" s="194" t="e">
        <f>IF(#REF!=A147,1,0)</f>
        <v>#REF!</v>
      </c>
      <c r="C147" s="194"/>
      <c r="D147" s="195"/>
      <c r="E147" s="196"/>
      <c r="F147" s="196" t="e">
        <f t="shared" si="16"/>
        <v>#REF!</v>
      </c>
      <c r="G147" s="196"/>
      <c r="H147" s="196" t="e">
        <f t="shared" si="17"/>
        <v>#REF!</v>
      </c>
      <c r="I147" s="195"/>
      <c r="J147" s="195" t="e">
        <f t="shared" si="18"/>
        <v>#REF!</v>
      </c>
      <c r="K147" s="195">
        <v>42</v>
      </c>
      <c r="L147" s="263"/>
      <c r="M147" s="293"/>
      <c r="N147" s="280" t="e">
        <f t="shared" si="20"/>
        <v>#REF!</v>
      </c>
      <c r="O147" s="195">
        <v>0</v>
      </c>
    </row>
    <row r="148" spans="1:15" s="136" customFormat="1" ht="14.25" x14ac:dyDescent="0.25">
      <c r="A148" s="194" t="s">
        <v>252</v>
      </c>
      <c r="B148" s="194" t="e">
        <f>IF(#REF!=A148,1,0)</f>
        <v>#REF!</v>
      </c>
      <c r="C148" s="194"/>
      <c r="D148" s="195"/>
      <c r="E148" s="196"/>
      <c r="F148" s="196" t="e">
        <f t="shared" si="16"/>
        <v>#REF!</v>
      </c>
      <c r="G148" s="196"/>
      <c r="H148" s="196" t="e">
        <f t="shared" si="17"/>
        <v>#REF!</v>
      </c>
      <c r="I148" s="195"/>
      <c r="J148" s="195" t="e">
        <f t="shared" si="18"/>
        <v>#REF!</v>
      </c>
      <c r="K148" s="195">
        <v>20</v>
      </c>
      <c r="L148" s="263"/>
      <c r="M148" s="293"/>
      <c r="N148" s="280" t="e">
        <f t="shared" si="20"/>
        <v>#REF!</v>
      </c>
      <c r="O148" s="195">
        <v>0</v>
      </c>
    </row>
    <row r="149" spans="1:15" s="136" customFormat="1" ht="14.25" x14ac:dyDescent="0.25">
      <c r="A149" s="194" t="s">
        <v>253</v>
      </c>
      <c r="B149" s="194" t="e">
        <f>IF(#REF!=A149,1,0)</f>
        <v>#REF!</v>
      </c>
      <c r="C149" s="194"/>
      <c r="D149" s="195"/>
      <c r="E149" s="196"/>
      <c r="F149" s="196" t="e">
        <f t="shared" ref="F149:F156" si="21">IF(B149=1,E149,0)</f>
        <v>#REF!</v>
      </c>
      <c r="G149" s="196"/>
      <c r="H149" s="196" t="e">
        <f t="shared" ref="H149:H156" si="22">IF(B149=1,G149,0)</f>
        <v>#REF!</v>
      </c>
      <c r="I149" s="195"/>
      <c r="J149" s="195" t="e">
        <f t="shared" ref="J149:J156" si="23">IF(B149=1,I149,0)</f>
        <v>#REF!</v>
      </c>
      <c r="K149" s="195">
        <v>55</v>
      </c>
      <c r="L149" s="263"/>
      <c r="M149" s="293"/>
      <c r="N149" s="280" t="e">
        <f t="shared" si="20"/>
        <v>#REF!</v>
      </c>
      <c r="O149" s="195">
        <v>0</v>
      </c>
    </row>
    <row r="150" spans="1:15" s="136" customFormat="1" ht="14.25" x14ac:dyDescent="0.25">
      <c r="A150" s="221" t="s">
        <v>254</v>
      </c>
      <c r="B150" s="221" t="e">
        <f>IF(#REF!=A150,1,0)</f>
        <v>#REF!</v>
      </c>
      <c r="C150" s="221"/>
      <c r="D150" s="222" t="s">
        <v>220</v>
      </c>
      <c r="E150" s="223">
        <v>0.16</v>
      </c>
      <c r="F150" s="223" t="e">
        <f t="shared" si="21"/>
        <v>#REF!</v>
      </c>
      <c r="G150" s="223">
        <v>0.87</v>
      </c>
      <c r="H150" s="223" t="e">
        <f t="shared" si="22"/>
        <v>#REF!</v>
      </c>
      <c r="I150" s="222">
        <v>680</v>
      </c>
      <c r="J150" s="222" t="e">
        <f t="shared" si="23"/>
        <v>#REF!</v>
      </c>
      <c r="K150" s="222">
        <v>57</v>
      </c>
      <c r="L150" s="267">
        <v>0.6</v>
      </c>
      <c r="M150" s="299"/>
      <c r="N150" s="287" t="e">
        <f t="shared" si="20"/>
        <v>#REF!</v>
      </c>
      <c r="O150" s="222">
        <v>0</v>
      </c>
    </row>
    <row r="151" spans="1:15" s="136" customFormat="1" ht="14.25" x14ac:dyDescent="0.25">
      <c r="A151" s="194" t="s">
        <v>255</v>
      </c>
      <c r="B151" s="194" t="e">
        <f>IF(#REF!=A151,1,0)</f>
        <v>#REF!</v>
      </c>
      <c r="C151" s="194"/>
      <c r="D151" s="195"/>
      <c r="E151" s="196"/>
      <c r="F151" s="196" t="e">
        <f t="shared" si="21"/>
        <v>#REF!</v>
      </c>
      <c r="G151" s="196"/>
      <c r="H151" s="196" t="e">
        <f t="shared" si="22"/>
        <v>#REF!</v>
      </c>
      <c r="I151" s="195"/>
      <c r="J151" s="195" t="e">
        <f t="shared" si="23"/>
        <v>#REF!</v>
      </c>
      <c r="K151" s="195">
        <v>43</v>
      </c>
      <c r="L151" s="263"/>
      <c r="M151" s="293"/>
      <c r="N151" s="280" t="e">
        <f t="shared" si="20"/>
        <v>#REF!</v>
      </c>
      <c r="O151" s="195">
        <v>0</v>
      </c>
    </row>
    <row r="152" spans="1:15" s="136" customFormat="1" ht="14.25" x14ac:dyDescent="0.25">
      <c r="A152" s="194" t="s">
        <v>256</v>
      </c>
      <c r="B152" s="194" t="e">
        <f>IF(#REF!=A152,1,0)</f>
        <v>#REF!</v>
      </c>
      <c r="C152" s="194"/>
      <c r="D152" s="195"/>
      <c r="E152" s="196"/>
      <c r="F152" s="196" t="e">
        <f t="shared" si="21"/>
        <v>#REF!</v>
      </c>
      <c r="G152" s="196"/>
      <c r="H152" s="196" t="e">
        <f t="shared" si="22"/>
        <v>#REF!</v>
      </c>
      <c r="I152" s="195"/>
      <c r="J152" s="195" t="e">
        <f t="shared" si="23"/>
        <v>#REF!</v>
      </c>
      <c r="K152" s="195">
        <v>83</v>
      </c>
      <c r="L152" s="263"/>
      <c r="M152" s="293"/>
      <c r="N152" s="280" t="e">
        <f t="shared" si="20"/>
        <v>#REF!</v>
      </c>
      <c r="O152" s="195">
        <v>0</v>
      </c>
    </row>
    <row r="153" spans="1:15" s="136" customFormat="1" ht="14.25" x14ac:dyDescent="0.25">
      <c r="A153" s="194" t="s">
        <v>257</v>
      </c>
      <c r="B153" s="194" t="e">
        <f>IF(#REF!=A153,1,0)</f>
        <v>#REF!</v>
      </c>
      <c r="C153" s="194"/>
      <c r="D153" s="195"/>
      <c r="E153" s="196"/>
      <c r="F153" s="196" t="e">
        <f t="shared" si="21"/>
        <v>#REF!</v>
      </c>
      <c r="G153" s="196"/>
      <c r="H153" s="196" t="e">
        <f t="shared" si="22"/>
        <v>#REF!</v>
      </c>
      <c r="I153" s="195"/>
      <c r="J153" s="195" t="e">
        <f t="shared" si="23"/>
        <v>#REF!</v>
      </c>
      <c r="K153" s="195">
        <v>64</v>
      </c>
      <c r="L153" s="263"/>
      <c r="M153" s="293"/>
      <c r="N153" s="280" t="e">
        <f t="shared" si="20"/>
        <v>#REF!</v>
      </c>
      <c r="O153" s="195">
        <v>0</v>
      </c>
    </row>
    <row r="154" spans="1:15" s="136" customFormat="1" ht="14.25" x14ac:dyDescent="0.25">
      <c r="A154" s="194" t="s">
        <v>258</v>
      </c>
      <c r="B154" s="194" t="e">
        <f>IF(#REF!=A154,1,0)</f>
        <v>#REF!</v>
      </c>
      <c r="C154" s="194"/>
      <c r="D154" s="195"/>
      <c r="E154" s="196"/>
      <c r="F154" s="196" t="e">
        <f t="shared" si="21"/>
        <v>#REF!</v>
      </c>
      <c r="G154" s="196"/>
      <c r="H154" s="196" t="e">
        <f t="shared" si="22"/>
        <v>#REF!</v>
      </c>
      <c r="I154" s="195"/>
      <c r="J154" s="195" t="e">
        <f t="shared" si="23"/>
        <v>#REF!</v>
      </c>
      <c r="K154" s="195">
        <v>64</v>
      </c>
      <c r="L154" s="263"/>
      <c r="M154" s="293"/>
      <c r="N154" s="280" t="e">
        <f t="shared" si="20"/>
        <v>#REF!</v>
      </c>
      <c r="O154" s="195">
        <v>0</v>
      </c>
    </row>
    <row r="155" spans="1:15" s="136" customFormat="1" ht="14.25" x14ac:dyDescent="0.25">
      <c r="A155" s="221" t="s">
        <v>65</v>
      </c>
      <c r="B155" s="221" t="e">
        <f>IF(#REF!=A155,1,0)</f>
        <v>#REF!</v>
      </c>
      <c r="C155" s="221"/>
      <c r="D155" s="222" t="s">
        <v>220</v>
      </c>
      <c r="E155" s="223">
        <v>0.4</v>
      </c>
      <c r="F155" s="223" t="e">
        <f t="shared" si="21"/>
        <v>#REF!</v>
      </c>
      <c r="G155" s="223">
        <v>0.5</v>
      </c>
      <c r="H155" s="223" t="e">
        <f t="shared" si="22"/>
        <v>#REF!</v>
      </c>
      <c r="I155" s="222">
        <v>615</v>
      </c>
      <c r="J155" s="222" t="e">
        <f t="shared" si="23"/>
        <v>#REF!</v>
      </c>
      <c r="K155" s="222">
        <v>110</v>
      </c>
      <c r="L155" s="267">
        <v>0.6</v>
      </c>
      <c r="M155" s="299"/>
      <c r="N155" s="287" t="e">
        <f t="shared" si="20"/>
        <v>#REF!</v>
      </c>
      <c r="O155" s="222">
        <v>0</v>
      </c>
    </row>
    <row r="156" spans="1:15" s="136" customFormat="1" thickBot="1" x14ac:dyDescent="0.3">
      <c r="A156" s="210" t="s">
        <v>259</v>
      </c>
      <c r="B156" s="210" t="e">
        <f>IF(#REF!=A156,1,0)</f>
        <v>#REF!</v>
      </c>
      <c r="C156" s="210"/>
      <c r="D156" s="211"/>
      <c r="E156" s="212"/>
      <c r="F156" s="212" t="e">
        <f t="shared" si="21"/>
        <v>#REF!</v>
      </c>
      <c r="G156" s="212"/>
      <c r="H156" s="212" t="e">
        <f t="shared" si="22"/>
        <v>#REF!</v>
      </c>
      <c r="I156" s="211"/>
      <c r="J156" s="211" t="e">
        <f t="shared" si="23"/>
        <v>#REF!</v>
      </c>
      <c r="K156" s="211">
        <v>110</v>
      </c>
      <c r="L156" s="269"/>
      <c r="M156" s="293"/>
      <c r="N156" s="284" t="e">
        <f t="shared" si="20"/>
        <v>#REF!</v>
      </c>
      <c r="O156" s="211">
        <v>0</v>
      </c>
    </row>
    <row r="157" spans="1:15" s="136" customFormat="1" ht="14.25" x14ac:dyDescent="0.25">
      <c r="A157" s="194" t="s">
        <v>260</v>
      </c>
      <c r="B157" s="194" t="e">
        <f>IF(#REF!=A157,1,0)</f>
        <v>#REF!</v>
      </c>
      <c r="C157" s="194"/>
      <c r="D157" s="195"/>
      <c r="E157" s="196"/>
      <c r="F157" s="196"/>
      <c r="G157" s="196"/>
      <c r="H157" s="196"/>
      <c r="I157" s="195"/>
      <c r="J157" s="195"/>
      <c r="K157" s="195"/>
      <c r="L157" s="263"/>
      <c r="M157" s="293"/>
      <c r="N157" s="280"/>
      <c r="O157" s="195"/>
    </row>
    <row r="158" spans="1:15" s="136" customFormat="1" ht="14.25" x14ac:dyDescent="0.25">
      <c r="A158" s="194" t="s">
        <v>261</v>
      </c>
      <c r="B158" s="194" t="e">
        <f>IF(#REF!=A158,1,0)</f>
        <v>#REF!</v>
      </c>
      <c r="C158" s="194"/>
      <c r="D158" s="195"/>
      <c r="E158" s="196"/>
      <c r="F158" s="196"/>
      <c r="G158" s="196"/>
      <c r="H158" s="196"/>
      <c r="I158" s="195"/>
      <c r="J158" s="195"/>
      <c r="K158" s="195"/>
      <c r="L158" s="263"/>
      <c r="M158" s="293"/>
      <c r="N158" s="280"/>
      <c r="O158" s="195"/>
    </row>
    <row r="159" spans="1:15" s="136" customFormat="1" ht="14.25" x14ac:dyDescent="0.25">
      <c r="A159" s="194" t="s">
        <v>262</v>
      </c>
      <c r="B159" s="194" t="e">
        <f>IF(#REF!=A159,1,0)</f>
        <v>#REF!</v>
      </c>
      <c r="C159" s="194"/>
      <c r="D159" s="195"/>
      <c r="E159" s="196"/>
      <c r="F159" s="196"/>
      <c r="G159" s="196"/>
      <c r="H159" s="196"/>
      <c r="I159" s="195"/>
      <c r="J159" s="195"/>
      <c r="K159" s="195"/>
      <c r="L159" s="263"/>
      <c r="M159" s="293"/>
      <c r="N159" s="280"/>
      <c r="O159" s="195"/>
    </row>
    <row r="160" spans="1:15" s="136" customFormat="1" ht="14.25" x14ac:dyDescent="0.25">
      <c r="A160" s="194" t="s">
        <v>204</v>
      </c>
      <c r="B160" s="194" t="e">
        <f>IF(#REF!=A160,1,0)</f>
        <v>#REF!</v>
      </c>
      <c r="C160" s="194"/>
      <c r="D160" s="195"/>
      <c r="E160" s="196"/>
      <c r="F160" s="196"/>
      <c r="G160" s="196"/>
      <c r="H160" s="196"/>
      <c r="I160" s="195"/>
      <c r="J160" s="195"/>
      <c r="K160" s="195"/>
      <c r="L160" s="263"/>
      <c r="M160" s="293"/>
      <c r="N160" s="280"/>
      <c r="O160" s="195"/>
    </row>
    <row r="161" spans="1:15" s="136" customFormat="1" ht="14.25" x14ac:dyDescent="0.25">
      <c r="A161" s="194" t="s">
        <v>263</v>
      </c>
      <c r="B161" s="194" t="e">
        <f>IF(#REF!=A161,1,0)</f>
        <v>#REF!</v>
      </c>
      <c r="C161" s="194"/>
      <c r="D161" s="195"/>
      <c r="E161" s="196"/>
      <c r="F161" s="196"/>
      <c r="G161" s="196"/>
      <c r="H161" s="196"/>
      <c r="I161" s="195"/>
      <c r="J161" s="195"/>
      <c r="K161" s="195"/>
      <c r="L161" s="263"/>
      <c r="M161" s="293"/>
      <c r="N161" s="280"/>
      <c r="O161" s="195"/>
    </row>
    <row r="162" spans="1:15" s="136" customFormat="1" ht="14.25" x14ac:dyDescent="0.25">
      <c r="A162" s="194" t="s">
        <v>264</v>
      </c>
      <c r="B162" s="194" t="e">
        <f>IF(#REF!=A162,1,0)</f>
        <v>#REF!</v>
      </c>
      <c r="C162" s="194"/>
      <c r="D162" s="195"/>
      <c r="E162" s="196"/>
      <c r="F162" s="196"/>
      <c r="G162" s="196"/>
      <c r="H162" s="196"/>
      <c r="I162" s="195"/>
      <c r="J162" s="195"/>
      <c r="K162" s="195"/>
      <c r="L162" s="263"/>
      <c r="M162" s="293"/>
      <c r="N162" s="280"/>
      <c r="O162" s="195"/>
    </row>
    <row r="163" spans="1:15" s="136" customFormat="1" ht="14.25" x14ac:dyDescent="0.25">
      <c r="A163" s="194" t="s">
        <v>265</v>
      </c>
      <c r="B163" s="194" t="e">
        <f>IF(#REF!=A163,1,0)</f>
        <v>#REF!</v>
      </c>
      <c r="C163" s="194"/>
      <c r="D163" s="195"/>
      <c r="E163" s="196"/>
      <c r="F163" s="196"/>
      <c r="G163" s="196"/>
      <c r="H163" s="196"/>
      <c r="I163" s="195"/>
      <c r="J163" s="195"/>
      <c r="K163" s="195"/>
      <c r="L163" s="263"/>
      <c r="M163" s="293"/>
      <c r="N163" s="280"/>
      <c r="O163" s="195"/>
    </row>
    <row r="164" spans="1:15" s="136" customFormat="1" ht="14.25" x14ac:dyDescent="0.25">
      <c r="A164" s="194" t="s">
        <v>266</v>
      </c>
      <c r="B164" s="194" t="e">
        <f>IF(#REF!=A164,1,0)</f>
        <v>#REF!</v>
      </c>
      <c r="C164" s="194"/>
      <c r="D164" s="195"/>
      <c r="E164" s="196"/>
      <c r="F164" s="196"/>
      <c r="G164" s="196"/>
      <c r="H164" s="196"/>
      <c r="I164" s="195"/>
      <c r="J164" s="195"/>
      <c r="K164" s="195"/>
      <c r="L164" s="263"/>
      <c r="M164" s="293"/>
      <c r="N164" s="280"/>
      <c r="O164" s="195"/>
    </row>
    <row r="165" spans="1:15" s="136" customFormat="1" ht="14.25" x14ac:dyDescent="0.25">
      <c r="A165" s="194" t="s">
        <v>267</v>
      </c>
      <c r="B165" s="194" t="e">
        <f>IF(#REF!=A165,1,0)</f>
        <v>#REF!</v>
      </c>
      <c r="C165" s="194"/>
      <c r="D165" s="195"/>
      <c r="E165" s="196"/>
      <c r="F165" s="196"/>
      <c r="G165" s="196"/>
      <c r="H165" s="196"/>
      <c r="I165" s="195"/>
      <c r="J165" s="195"/>
      <c r="K165" s="195"/>
      <c r="L165" s="263"/>
      <c r="M165" s="293"/>
      <c r="N165" s="280"/>
      <c r="O165" s="195"/>
    </row>
    <row r="166" spans="1:15" s="136" customFormat="1" ht="14.25" x14ac:dyDescent="0.25">
      <c r="A166" s="194" t="s">
        <v>268</v>
      </c>
      <c r="B166" s="194" t="e">
        <f>IF(#REF!=A166,1,0)</f>
        <v>#REF!</v>
      </c>
      <c r="C166" s="194"/>
      <c r="D166" s="195"/>
      <c r="E166" s="196"/>
      <c r="F166" s="196"/>
      <c r="G166" s="196"/>
      <c r="H166" s="196"/>
      <c r="I166" s="195"/>
      <c r="J166" s="195"/>
      <c r="K166" s="195"/>
      <c r="L166" s="263"/>
      <c r="M166" s="293"/>
      <c r="N166" s="280"/>
      <c r="O166" s="195"/>
    </row>
    <row r="167" spans="1:15" s="136" customFormat="1" ht="14.25" x14ac:dyDescent="0.25">
      <c r="A167" s="194" t="s">
        <v>269</v>
      </c>
      <c r="B167" s="194" t="e">
        <f>IF(#REF!=A167,1,0)</f>
        <v>#REF!</v>
      </c>
      <c r="C167" s="194"/>
      <c r="D167" s="195"/>
      <c r="E167" s="196"/>
      <c r="F167" s="196"/>
      <c r="G167" s="196"/>
      <c r="H167" s="196"/>
      <c r="I167" s="195"/>
      <c r="J167" s="195"/>
      <c r="K167" s="195"/>
      <c r="L167" s="263"/>
      <c r="M167" s="293"/>
      <c r="N167" s="280"/>
      <c r="O167" s="195"/>
    </row>
    <row r="168" spans="1:15" s="136" customFormat="1" ht="14.25" x14ac:dyDescent="0.25">
      <c r="A168" s="194" t="s">
        <v>270</v>
      </c>
      <c r="B168" s="194" t="e">
        <f>IF(#REF!=A168,1,0)</f>
        <v>#REF!</v>
      </c>
      <c r="C168" s="194"/>
      <c r="D168" s="195"/>
      <c r="E168" s="196"/>
      <c r="F168" s="196"/>
      <c r="G168" s="196"/>
      <c r="H168" s="196"/>
      <c r="I168" s="195"/>
      <c r="J168" s="195"/>
      <c r="K168" s="195"/>
      <c r="L168" s="263"/>
      <c r="M168" s="293"/>
      <c r="N168" s="280"/>
      <c r="O168" s="195"/>
    </row>
    <row r="169" spans="1:15" s="136" customFormat="1" ht="14.25" x14ac:dyDescent="0.25">
      <c r="A169" s="194" t="s">
        <v>271</v>
      </c>
      <c r="B169" s="194" t="e">
        <f>IF(#REF!=A169,1,0)</f>
        <v>#REF!</v>
      </c>
      <c r="C169" s="194"/>
      <c r="D169" s="195"/>
      <c r="E169" s="196"/>
      <c r="F169" s="196"/>
      <c r="G169" s="196"/>
      <c r="H169" s="196"/>
      <c r="I169" s="195"/>
      <c r="J169" s="195"/>
      <c r="K169" s="195"/>
      <c r="L169" s="263"/>
      <c r="M169" s="293"/>
      <c r="N169" s="280"/>
      <c r="O169" s="195"/>
    </row>
    <row r="170" spans="1:15" s="136" customFormat="1" ht="14.25" x14ac:dyDescent="0.25">
      <c r="A170" s="194" t="s">
        <v>272</v>
      </c>
      <c r="B170" s="194" t="e">
        <f>IF(#REF!=A170,1,0)</f>
        <v>#REF!</v>
      </c>
      <c r="C170" s="194"/>
      <c r="D170" s="195"/>
      <c r="E170" s="196"/>
      <c r="F170" s="196"/>
      <c r="G170" s="196"/>
      <c r="H170" s="196"/>
      <c r="I170" s="195"/>
      <c r="J170" s="195"/>
      <c r="K170" s="195"/>
      <c r="L170" s="263"/>
      <c r="M170" s="293"/>
      <c r="N170" s="280"/>
      <c r="O170" s="195"/>
    </row>
    <row r="171" spans="1:15" s="136" customFormat="1" ht="14.25" x14ac:dyDescent="0.25">
      <c r="A171" s="194" t="s">
        <v>273</v>
      </c>
      <c r="B171" s="194" t="e">
        <f>IF(#REF!=A171,1,0)</f>
        <v>#REF!</v>
      </c>
      <c r="C171" s="194"/>
      <c r="D171" s="195"/>
      <c r="E171" s="196"/>
      <c r="F171" s="196"/>
      <c r="G171" s="196"/>
      <c r="H171" s="196"/>
      <c r="I171" s="195"/>
      <c r="J171" s="195"/>
      <c r="K171" s="195"/>
      <c r="L171" s="263"/>
      <c r="M171" s="293"/>
      <c r="N171" s="280"/>
      <c r="O171" s="195"/>
    </row>
    <row r="172" spans="1:15" s="136" customFormat="1" ht="14.25" x14ac:dyDescent="0.25">
      <c r="A172" s="194" t="s">
        <v>274</v>
      </c>
      <c r="B172" s="194" t="e">
        <f>IF(#REF!=A172,1,0)</f>
        <v>#REF!</v>
      </c>
      <c r="C172" s="194"/>
      <c r="D172" s="195"/>
      <c r="E172" s="196"/>
      <c r="F172" s="196"/>
      <c r="G172" s="196"/>
      <c r="H172" s="196"/>
      <c r="I172" s="195"/>
      <c r="J172" s="195"/>
      <c r="K172" s="195"/>
      <c r="L172" s="263"/>
      <c r="M172" s="293"/>
      <c r="N172" s="280"/>
      <c r="O172" s="195"/>
    </row>
    <row r="173" spans="1:15" s="136" customFormat="1" ht="14.25" x14ac:dyDescent="0.25">
      <c r="A173" s="194" t="s">
        <v>275</v>
      </c>
      <c r="B173" s="194" t="e">
        <f>IF(#REF!=A173,1,0)</f>
        <v>#REF!</v>
      </c>
      <c r="C173" s="194"/>
      <c r="D173" s="195"/>
      <c r="E173" s="196"/>
      <c r="F173" s="196"/>
      <c r="G173" s="196"/>
      <c r="H173" s="196"/>
      <c r="I173" s="195"/>
      <c r="J173" s="195"/>
      <c r="K173" s="195"/>
      <c r="L173" s="263"/>
      <c r="M173" s="293"/>
      <c r="N173" s="280"/>
      <c r="O173" s="195"/>
    </row>
    <row r="174" spans="1:15" s="136" customFormat="1" ht="14.25" x14ac:dyDescent="0.25">
      <c r="A174" s="224"/>
      <c r="B174" s="225" t="e">
        <f>IF(#REF!=A174,1,0)</f>
        <v>#REF!</v>
      </c>
      <c r="C174" s="224"/>
      <c r="D174" s="226"/>
      <c r="E174" s="227"/>
      <c r="F174" s="227"/>
      <c r="G174" s="227"/>
      <c r="H174" s="227"/>
      <c r="I174" s="226"/>
      <c r="J174" s="226"/>
      <c r="K174" s="226"/>
      <c r="L174" s="272"/>
      <c r="M174" s="293"/>
      <c r="N174" s="288"/>
      <c r="O174" s="228"/>
    </row>
    <row r="175" spans="1:15" s="136" customFormat="1" ht="14.25" x14ac:dyDescent="0.25">
      <c r="A175" s="224"/>
      <c r="B175" s="224"/>
      <c r="C175" s="224"/>
      <c r="D175" s="226"/>
      <c r="E175" s="227"/>
      <c r="F175" s="227"/>
      <c r="G175" s="227"/>
      <c r="H175" s="227"/>
      <c r="I175" s="226"/>
      <c r="J175" s="226"/>
      <c r="K175" s="226"/>
      <c r="L175" s="272"/>
      <c r="M175" s="293"/>
      <c r="N175" s="288"/>
      <c r="O175" s="228"/>
    </row>
    <row r="176" spans="1:15" s="136" customFormat="1" ht="14.25" x14ac:dyDescent="0.25">
      <c r="A176" s="224"/>
      <c r="B176" s="224"/>
      <c r="C176" s="224"/>
      <c r="D176" s="226"/>
      <c r="E176" s="227"/>
      <c r="F176" s="227"/>
      <c r="G176" s="227"/>
      <c r="H176" s="227"/>
      <c r="I176" s="226"/>
      <c r="J176" s="226"/>
      <c r="K176" s="226"/>
      <c r="L176" s="272"/>
      <c r="M176" s="293"/>
      <c r="N176" s="288"/>
      <c r="O176" s="228"/>
    </row>
    <row r="177" spans="1:15" s="136" customFormat="1" ht="14.25" x14ac:dyDescent="0.25">
      <c r="A177" s="224"/>
      <c r="B177" s="224"/>
      <c r="C177" s="224"/>
      <c r="D177" s="226"/>
      <c r="E177" s="227"/>
      <c r="F177" s="227"/>
      <c r="G177" s="227"/>
      <c r="H177" s="227"/>
      <c r="I177" s="226"/>
      <c r="J177" s="226"/>
      <c r="K177" s="226"/>
      <c r="L177" s="272"/>
      <c r="M177" s="293"/>
      <c r="N177" s="288"/>
      <c r="O177" s="228"/>
    </row>
    <row r="178" spans="1:15" s="136" customFormat="1" ht="14.25" x14ac:dyDescent="0.25">
      <c r="A178" s="224"/>
      <c r="B178" s="224"/>
      <c r="C178" s="224"/>
      <c r="D178" s="226"/>
      <c r="E178" s="227"/>
      <c r="F178" s="227"/>
      <c r="G178" s="227"/>
      <c r="H178" s="227"/>
      <c r="I178" s="226"/>
      <c r="J178" s="226"/>
      <c r="K178" s="226"/>
      <c r="L178" s="272"/>
      <c r="M178" s="293"/>
      <c r="N178" s="288"/>
      <c r="O178" s="228"/>
    </row>
    <row r="179" spans="1:15" s="136" customFormat="1" ht="14.25" x14ac:dyDescent="0.25">
      <c r="A179" s="224"/>
      <c r="B179" s="224"/>
      <c r="C179" s="224"/>
      <c r="D179" s="226"/>
      <c r="E179" s="227"/>
      <c r="F179" s="227"/>
      <c r="G179" s="227"/>
      <c r="H179" s="227"/>
      <c r="I179" s="226"/>
      <c r="J179" s="226"/>
      <c r="K179" s="226"/>
      <c r="L179" s="272"/>
      <c r="M179" s="293"/>
      <c r="N179" s="288"/>
      <c r="O179" s="228"/>
    </row>
    <row r="180" spans="1:15" s="136" customFormat="1" ht="14.25" x14ac:dyDescent="0.25">
      <c r="A180" s="224"/>
      <c r="B180" s="224"/>
      <c r="C180" s="224"/>
      <c r="D180" s="226"/>
      <c r="E180" s="227"/>
      <c r="F180" s="227"/>
      <c r="G180" s="227"/>
      <c r="H180" s="227"/>
      <c r="I180" s="226"/>
      <c r="J180" s="226"/>
      <c r="K180" s="226"/>
      <c r="L180" s="272"/>
      <c r="M180" s="293"/>
      <c r="N180" s="288"/>
      <c r="O180" s="228"/>
    </row>
    <row r="181" spans="1:15" s="136" customFormat="1" thickBot="1" x14ac:dyDescent="0.3">
      <c r="A181" s="224"/>
      <c r="B181" s="224"/>
      <c r="C181" s="224"/>
      <c r="D181" s="226"/>
      <c r="E181" s="227"/>
      <c r="F181" s="227"/>
      <c r="G181" s="227"/>
      <c r="H181" s="227"/>
      <c r="I181" s="226"/>
      <c r="J181" s="226"/>
      <c r="K181" s="226"/>
      <c r="L181" s="272"/>
      <c r="M181" s="293"/>
      <c r="N181" s="288"/>
      <c r="O181" s="228"/>
    </row>
    <row r="182" spans="1:15" s="136" customFormat="1" ht="14.25" x14ac:dyDescent="0.25">
      <c r="A182" s="218" t="s">
        <v>276</v>
      </c>
      <c r="B182" s="218" t="e">
        <f>IF(#REF!=A182,1,0)</f>
        <v>#REF!</v>
      </c>
      <c r="C182" s="218"/>
      <c r="D182" s="229">
        <v>51</v>
      </c>
      <c r="E182" s="230">
        <v>0.22399999999999998</v>
      </c>
      <c r="F182" s="230" t="e">
        <f t="shared" ref="F182:F187" si="24">IF(B182=1,E182,0)</f>
        <v>#REF!</v>
      </c>
      <c r="G182" s="230">
        <v>0.90200000000000002</v>
      </c>
      <c r="H182" s="230" t="e">
        <f t="shared" ref="H182:H187" si="25">IF(B182=1,G182,0)</f>
        <v>#REF!</v>
      </c>
      <c r="I182" s="229">
        <v>603</v>
      </c>
      <c r="J182" s="219" t="e">
        <f t="shared" ref="J182:J187" si="26">IF(B182=1,I182,0)</f>
        <v>#REF!</v>
      </c>
      <c r="K182" s="219">
        <v>100</v>
      </c>
      <c r="L182" s="273">
        <v>0.5</v>
      </c>
      <c r="M182" s="297">
        <v>304</v>
      </c>
      <c r="N182" s="289" t="e">
        <f t="shared" ref="N182:N187" si="27">IF(B182=1,L182,0)</f>
        <v>#REF!</v>
      </c>
      <c r="O182" s="139"/>
    </row>
    <row r="183" spans="1:15" s="136" customFormat="1" ht="14.25" x14ac:dyDescent="0.25">
      <c r="A183" s="200" t="s">
        <v>162</v>
      </c>
      <c r="B183" s="200" t="e">
        <f>IF(#REF!=A183,1,0)</f>
        <v>#REF!</v>
      </c>
      <c r="C183" s="200"/>
      <c r="D183" s="231"/>
      <c r="E183" s="202">
        <v>0.28199999999999997</v>
      </c>
      <c r="F183" s="202" t="e">
        <f t="shared" si="24"/>
        <v>#REF!</v>
      </c>
      <c r="G183" s="202">
        <v>0.89700000000000002</v>
      </c>
      <c r="H183" s="202" t="e">
        <f t="shared" si="25"/>
        <v>#REF!</v>
      </c>
      <c r="I183" s="231">
        <v>567</v>
      </c>
      <c r="J183" s="201" t="e">
        <f t="shared" si="26"/>
        <v>#REF!</v>
      </c>
      <c r="K183" s="201"/>
      <c r="L183" s="265">
        <v>0.55700000000000005</v>
      </c>
      <c r="M183" s="300"/>
      <c r="N183" s="282" t="e">
        <f t="shared" si="27"/>
        <v>#REF!</v>
      </c>
      <c r="O183" s="232"/>
    </row>
    <row r="184" spans="1:15" s="136" customFormat="1" ht="14.25" x14ac:dyDescent="0.25">
      <c r="A184" s="194" t="s">
        <v>277</v>
      </c>
      <c r="B184" s="194" t="e">
        <f>IF(#REF!=A184,1,0)</f>
        <v>#REF!</v>
      </c>
      <c r="C184" s="194"/>
      <c r="D184" s="206">
        <v>28</v>
      </c>
      <c r="E184" s="196">
        <v>0.52700000000000002</v>
      </c>
      <c r="F184" s="196" t="e">
        <f t="shared" si="24"/>
        <v>#REF!</v>
      </c>
      <c r="G184" s="196">
        <v>0.90500000000000003</v>
      </c>
      <c r="H184" s="196" t="e">
        <f t="shared" si="25"/>
        <v>#REF!</v>
      </c>
      <c r="I184" s="206">
        <v>571</v>
      </c>
      <c r="J184" s="195" t="e">
        <f t="shared" si="26"/>
        <v>#REF!</v>
      </c>
      <c r="K184" s="195">
        <v>100</v>
      </c>
      <c r="L184" s="263">
        <v>0.53</v>
      </c>
      <c r="M184" s="297">
        <v>306</v>
      </c>
      <c r="N184" s="280" t="e">
        <f t="shared" si="27"/>
        <v>#REF!</v>
      </c>
      <c r="O184" s="139"/>
    </row>
    <row r="185" spans="1:15" s="136" customFormat="1" ht="14.25" x14ac:dyDescent="0.25">
      <c r="A185" s="194" t="s">
        <v>278</v>
      </c>
      <c r="B185" s="194" t="e">
        <f>IF(#REF!=A185,1,0)</f>
        <v>#REF!</v>
      </c>
      <c r="C185" s="194"/>
      <c r="D185" s="206">
        <v>16</v>
      </c>
      <c r="E185" s="196">
        <v>0.182</v>
      </c>
      <c r="F185" s="196" t="e">
        <f t="shared" si="24"/>
        <v>#REF!</v>
      </c>
      <c r="G185" s="196">
        <v>0.90300000000000002</v>
      </c>
      <c r="H185" s="196" t="e">
        <f t="shared" si="25"/>
        <v>#REF!</v>
      </c>
      <c r="I185" s="206">
        <v>606</v>
      </c>
      <c r="J185" s="195" t="e">
        <f t="shared" si="26"/>
        <v>#REF!</v>
      </c>
      <c r="K185" s="206">
        <v>50</v>
      </c>
      <c r="L185" s="263">
        <v>0.6</v>
      </c>
      <c r="M185" s="297">
        <v>361</v>
      </c>
      <c r="N185" s="280" t="e">
        <f t="shared" si="27"/>
        <v>#REF!</v>
      </c>
      <c r="O185" s="139"/>
    </row>
    <row r="186" spans="1:15" s="136" customFormat="1" ht="14.25" x14ac:dyDescent="0.25">
      <c r="A186" s="194" t="s">
        <v>279</v>
      </c>
      <c r="B186" s="194" t="e">
        <f>IF(#REF!=A186,1,0)</f>
        <v>#REF!</v>
      </c>
      <c r="C186" s="194"/>
      <c r="D186" s="206">
        <v>14</v>
      </c>
      <c r="E186" s="196">
        <v>0.16399999999999998</v>
      </c>
      <c r="F186" s="196" t="e">
        <f t="shared" si="24"/>
        <v>#REF!</v>
      </c>
      <c r="G186" s="196">
        <v>0.89500000000000002</v>
      </c>
      <c r="H186" s="196" t="e">
        <f t="shared" si="25"/>
        <v>#REF!</v>
      </c>
      <c r="I186" s="206">
        <v>546</v>
      </c>
      <c r="J186" s="195" t="e">
        <f t="shared" si="26"/>
        <v>#REF!</v>
      </c>
      <c r="K186" s="206">
        <v>63</v>
      </c>
      <c r="L186" s="263">
        <v>0.5</v>
      </c>
      <c r="M186" s="297">
        <v>274</v>
      </c>
      <c r="N186" s="280" t="e">
        <f t="shared" si="27"/>
        <v>#REF!</v>
      </c>
      <c r="O186" s="139"/>
    </row>
    <row r="187" spans="1:15" s="136" customFormat="1" ht="14.25" x14ac:dyDescent="0.25">
      <c r="A187" s="194" t="s">
        <v>280</v>
      </c>
      <c r="B187" s="194" t="e">
        <f>IF(#REF!=A187,1,0)</f>
        <v>#REF!</v>
      </c>
      <c r="C187" s="194"/>
      <c r="D187" s="195">
        <v>20</v>
      </c>
      <c r="E187" s="196">
        <v>0.20899999999999999</v>
      </c>
      <c r="F187" s="196" t="e">
        <f t="shared" si="24"/>
        <v>#REF!</v>
      </c>
      <c r="G187" s="196">
        <v>0.89</v>
      </c>
      <c r="H187" s="196" t="e">
        <f t="shared" si="25"/>
        <v>#REF!</v>
      </c>
      <c r="I187" s="195">
        <v>506</v>
      </c>
      <c r="J187" s="195" t="e">
        <f t="shared" si="26"/>
        <v>#REF!</v>
      </c>
      <c r="K187" s="195">
        <v>63</v>
      </c>
      <c r="L187" s="263">
        <v>0.56000000000000005</v>
      </c>
      <c r="M187" s="293">
        <v>283</v>
      </c>
      <c r="N187" s="280" t="e">
        <f t="shared" si="27"/>
        <v>#REF!</v>
      </c>
      <c r="O187" s="139"/>
    </row>
    <row r="188" spans="1:15" s="136" customFormat="1" ht="14.25" x14ac:dyDescent="0.25">
      <c r="A188" s="194"/>
      <c r="B188" s="194"/>
      <c r="C188" s="194"/>
      <c r="D188" s="195"/>
      <c r="E188" s="196"/>
      <c r="F188" s="196"/>
      <c r="G188" s="196"/>
      <c r="H188" s="196"/>
      <c r="I188" s="195"/>
      <c r="J188" s="195"/>
      <c r="K188" s="195"/>
      <c r="L188" s="263"/>
      <c r="M188" s="293"/>
      <c r="N188" s="280"/>
      <c r="O188" s="139"/>
    </row>
    <row r="189" spans="1:15" s="136" customFormat="1" ht="14.25" x14ac:dyDescent="0.25">
      <c r="A189" s="194"/>
      <c r="B189" s="194"/>
      <c r="C189" s="194"/>
      <c r="D189" s="195"/>
      <c r="E189" s="196"/>
      <c r="F189" s="196"/>
      <c r="G189" s="196"/>
      <c r="H189" s="196"/>
      <c r="I189" s="195"/>
      <c r="J189" s="195"/>
      <c r="K189" s="195"/>
      <c r="L189" s="263"/>
      <c r="M189" s="293"/>
      <c r="N189" s="280"/>
      <c r="O189" s="139"/>
    </row>
    <row r="190" spans="1:15" s="136" customFormat="1" ht="14.25" x14ac:dyDescent="0.25">
      <c r="A190" s="194"/>
      <c r="B190" s="194"/>
      <c r="C190" s="194"/>
      <c r="D190" s="195"/>
      <c r="E190" s="196"/>
      <c r="F190" s="196"/>
      <c r="G190" s="196"/>
      <c r="H190" s="196"/>
      <c r="I190" s="195"/>
      <c r="J190" s="195"/>
      <c r="K190" s="195"/>
      <c r="L190" s="263"/>
      <c r="M190" s="293"/>
      <c r="N190" s="280"/>
      <c r="O190" s="139"/>
    </row>
    <row r="191" spans="1:15" s="136" customFormat="1" ht="14.25" x14ac:dyDescent="0.25">
      <c r="A191" s="194"/>
      <c r="B191" s="194"/>
      <c r="C191" s="194"/>
      <c r="D191" s="195"/>
      <c r="E191" s="196"/>
      <c r="F191" s="196"/>
      <c r="G191" s="196"/>
      <c r="H191" s="196"/>
      <c r="I191" s="195"/>
      <c r="J191" s="195"/>
      <c r="K191" s="195"/>
      <c r="L191" s="263"/>
      <c r="M191" s="293"/>
      <c r="N191" s="280"/>
      <c r="O191" s="139"/>
    </row>
    <row r="192" spans="1:15" s="136" customFormat="1" ht="14.25" x14ac:dyDescent="0.25">
      <c r="A192" s="194"/>
      <c r="B192" s="194"/>
      <c r="C192" s="194"/>
      <c r="D192" s="195"/>
      <c r="E192" s="196"/>
      <c r="F192" s="196"/>
      <c r="G192" s="196"/>
      <c r="H192" s="196"/>
      <c r="I192" s="195"/>
      <c r="J192" s="195"/>
      <c r="K192" s="195"/>
      <c r="L192" s="263"/>
      <c r="M192" s="293"/>
      <c r="N192" s="280"/>
      <c r="O192" s="139"/>
    </row>
    <row r="193" spans="1:17" s="136" customFormat="1" ht="14.25" x14ac:dyDescent="0.25">
      <c r="A193" s="194" t="s">
        <v>281</v>
      </c>
      <c r="B193" s="194" t="e">
        <f>IF(#REF!=A193,1,0)</f>
        <v>#REF!</v>
      </c>
      <c r="C193" s="194"/>
      <c r="D193" s="195">
        <v>20</v>
      </c>
      <c r="E193" s="196">
        <v>0.26600000000000001</v>
      </c>
      <c r="F193" s="196" t="e">
        <f>IF(B193=1,E193,0)</f>
        <v>#REF!</v>
      </c>
      <c r="G193" s="196">
        <v>0.93299999999999994</v>
      </c>
      <c r="H193" s="196" t="e">
        <f>IF(B193=1,G193,0)</f>
        <v>#REF!</v>
      </c>
      <c r="I193" s="195">
        <v>577</v>
      </c>
      <c r="J193" s="195" t="e">
        <f>IF(B193=1,I193,0)</f>
        <v>#REF!</v>
      </c>
      <c r="K193" s="195"/>
      <c r="L193" s="263">
        <v>0.54</v>
      </c>
      <c r="M193" s="293">
        <v>312</v>
      </c>
      <c r="N193" s="280" t="e">
        <f>IF(B193=1,L193,0)</f>
        <v>#REF!</v>
      </c>
      <c r="O193" s="139"/>
    </row>
    <row r="194" spans="1:17" s="136" customFormat="1" ht="14.25" x14ac:dyDescent="0.25">
      <c r="A194" s="194" t="s">
        <v>160</v>
      </c>
      <c r="B194" s="194" t="e">
        <f>IF(#REF!=A194,1,0)</f>
        <v>#REF!</v>
      </c>
      <c r="C194" s="194"/>
      <c r="D194" s="195">
        <v>50</v>
      </c>
      <c r="E194" s="196">
        <v>0.25700000000000001</v>
      </c>
      <c r="F194" s="196" t="e">
        <f>IF(B194=1,E194,0)</f>
        <v>#REF!</v>
      </c>
      <c r="G194" s="196">
        <v>0.92900000000000005</v>
      </c>
      <c r="H194" s="196" t="e">
        <f>IF(B194=1,G194,0)</f>
        <v>#REF!</v>
      </c>
      <c r="I194" s="195">
        <v>608</v>
      </c>
      <c r="J194" s="195" t="e">
        <f>IF(B194=1,I194,0)</f>
        <v>#REF!</v>
      </c>
      <c r="K194" s="195"/>
      <c r="L194" s="263">
        <v>0.56000000000000005</v>
      </c>
      <c r="M194" s="293">
        <v>336</v>
      </c>
      <c r="N194" s="280" t="e">
        <f>IF(B194=1,L194,0)</f>
        <v>#REF!</v>
      </c>
      <c r="O194" s="139"/>
    </row>
    <row r="195" spans="1:17" s="136" customFormat="1" ht="14.25" x14ac:dyDescent="0.25">
      <c r="A195" s="194" t="s">
        <v>282</v>
      </c>
      <c r="B195" s="194" t="e">
        <f>IF(#REF!=A195,1,0)</f>
        <v>#REF!</v>
      </c>
      <c r="C195" s="194"/>
      <c r="D195" s="195">
        <v>17</v>
      </c>
      <c r="E195" s="196">
        <v>0.27300000000000002</v>
      </c>
      <c r="F195" s="196" t="e">
        <f>IF(B195=1,E195,0)</f>
        <v>#REF!</v>
      </c>
      <c r="G195" s="196">
        <v>0.93900000000000006</v>
      </c>
      <c r="H195" s="196" t="e">
        <f>IF(B195=1,G195,0)</f>
        <v>#REF!</v>
      </c>
      <c r="I195" s="195">
        <v>541</v>
      </c>
      <c r="J195" s="195" t="e">
        <f>IF(B195=1,I195,0)</f>
        <v>#REF!</v>
      </c>
      <c r="K195" s="195"/>
      <c r="L195" s="263">
        <v>0.56000000000000005</v>
      </c>
      <c r="M195" s="293">
        <v>298</v>
      </c>
      <c r="N195" s="280" t="e">
        <f>IF(B195=1,L195,0)</f>
        <v>#REF!</v>
      </c>
      <c r="O195" s="139"/>
    </row>
    <row r="196" spans="1:17" s="136" customFormat="1" ht="14.25" x14ac:dyDescent="0.25">
      <c r="A196" s="194" t="s">
        <v>283</v>
      </c>
      <c r="B196" s="194" t="e">
        <f>IF(#REF!=A196,1,0)</f>
        <v>#REF!</v>
      </c>
      <c r="C196" s="194"/>
      <c r="D196" s="195">
        <v>4</v>
      </c>
      <c r="E196" s="196">
        <v>0.29199999999999998</v>
      </c>
      <c r="F196" s="196" t="e">
        <f>IF(B196=1,E196,0)</f>
        <v>#REF!</v>
      </c>
      <c r="G196" s="196">
        <v>0.93500000000000005</v>
      </c>
      <c r="H196" s="196" t="e">
        <f>IF(B196=1,G196,0)</f>
        <v>#REF!</v>
      </c>
      <c r="I196" s="195">
        <v>609</v>
      </c>
      <c r="J196" s="195" t="e">
        <f>IF(B196=1,I196,0)</f>
        <v>#REF!</v>
      </c>
      <c r="K196" s="195"/>
      <c r="L196" s="263">
        <v>0.56999999999999995</v>
      </c>
      <c r="M196" s="293">
        <v>348</v>
      </c>
      <c r="N196" s="280" t="e">
        <f>IF(B196=1,L196,0)</f>
        <v>#REF!</v>
      </c>
      <c r="O196" s="139"/>
    </row>
    <row r="197" spans="1:17" s="136" customFormat="1" ht="14.25" x14ac:dyDescent="0.25">
      <c r="A197" s="200" t="s">
        <v>163</v>
      </c>
      <c r="B197" s="200" t="e">
        <f>IF(#REF!=A197,1,0)</f>
        <v>#REF!</v>
      </c>
      <c r="C197" s="200"/>
      <c r="D197" s="201"/>
      <c r="E197" s="202">
        <v>0.32800000000000001</v>
      </c>
      <c r="F197" s="202" t="e">
        <f>IF(B197=1,E197,0)</f>
        <v>#REF!</v>
      </c>
      <c r="G197" s="202">
        <v>0.93700000000000006</v>
      </c>
      <c r="H197" s="202" t="e">
        <f>IF(B197=1,G197,0)</f>
        <v>#REF!</v>
      </c>
      <c r="I197" s="201">
        <v>624</v>
      </c>
      <c r="J197" s="201" t="e">
        <f>IF(B197=1,I197,0)</f>
        <v>#REF!</v>
      </c>
      <c r="K197" s="201"/>
      <c r="L197" s="265">
        <v>0.56000000000000005</v>
      </c>
      <c r="M197" s="301"/>
      <c r="N197" s="282" t="e">
        <f>IF(B197=1,L197,0)</f>
        <v>#REF!</v>
      </c>
      <c r="O197" s="232"/>
    </row>
    <row r="198" spans="1:17" s="136" customFormat="1" ht="14.25" x14ac:dyDescent="0.25">
      <c r="A198" s="194"/>
      <c r="B198" s="194"/>
      <c r="C198" s="194"/>
      <c r="D198" s="195"/>
      <c r="E198" s="196"/>
      <c r="F198" s="196"/>
      <c r="G198" s="196"/>
      <c r="H198" s="196"/>
      <c r="I198" s="195"/>
      <c r="J198" s="195"/>
      <c r="K198" s="195"/>
      <c r="L198" s="263"/>
      <c r="M198" s="293"/>
      <c r="N198" s="280"/>
      <c r="O198" s="139"/>
    </row>
    <row r="199" spans="1:17" s="136" customFormat="1" ht="14.25" x14ac:dyDescent="0.25">
      <c r="A199" s="194" t="s">
        <v>21</v>
      </c>
      <c r="B199" s="194" t="e">
        <f>IF(#REF!=A199,1,0)</f>
        <v>#REF!</v>
      </c>
      <c r="C199" s="194"/>
      <c r="D199" s="195">
        <v>17</v>
      </c>
      <c r="E199" s="196">
        <v>0.92799999999999994</v>
      </c>
      <c r="F199" s="196" t="e">
        <f t="shared" ref="F199:F205" si="28">IF(B199=1,E199,0)</f>
        <v>#REF!</v>
      </c>
      <c r="G199" s="196">
        <v>0.91599999999999993</v>
      </c>
      <c r="H199" s="196" t="e">
        <f t="shared" ref="H199:H205" si="29">IF(B199=1,G199,0)</f>
        <v>#REF!</v>
      </c>
      <c r="I199" s="195">
        <v>558</v>
      </c>
      <c r="J199" s="195" t="e">
        <f t="shared" ref="J199:J205" si="30">IF(B199=1,I199,0)</f>
        <v>#REF!</v>
      </c>
      <c r="K199" s="195"/>
      <c r="L199" s="263">
        <v>0.52</v>
      </c>
      <c r="M199" s="293">
        <v>292</v>
      </c>
      <c r="N199" s="280" t="e">
        <f t="shared" ref="N199:N205" si="31">IF(B199=1,L199,0)</f>
        <v>#REF!</v>
      </c>
      <c r="O199" s="139"/>
    </row>
    <row r="200" spans="1:17" s="136" customFormat="1" ht="14.25" x14ac:dyDescent="0.25">
      <c r="A200" s="194" t="s">
        <v>284</v>
      </c>
      <c r="B200" s="194" t="e">
        <f>IF(#REF!=A200,1,0)</f>
        <v>#REF!</v>
      </c>
      <c r="C200" s="194"/>
      <c r="D200" s="195">
        <v>7</v>
      </c>
      <c r="E200" s="196">
        <v>0.312</v>
      </c>
      <c r="F200" s="196" t="e">
        <f t="shared" si="28"/>
        <v>#REF!</v>
      </c>
      <c r="G200" s="196">
        <v>0.92200000000000004</v>
      </c>
      <c r="H200" s="196" t="e">
        <f t="shared" si="29"/>
        <v>#REF!</v>
      </c>
      <c r="I200" s="195">
        <v>543</v>
      </c>
      <c r="J200" s="195" t="e">
        <f t="shared" si="30"/>
        <v>#REF!</v>
      </c>
      <c r="K200" s="195"/>
      <c r="L200" s="263">
        <v>0.62</v>
      </c>
      <c r="M200" s="293">
        <v>335</v>
      </c>
      <c r="N200" s="280" t="e">
        <f t="shared" si="31"/>
        <v>#REF!</v>
      </c>
      <c r="O200" s="139"/>
    </row>
    <row r="201" spans="1:17" s="136" customFormat="1" ht="14.25" x14ac:dyDescent="0.25">
      <c r="A201" s="194" t="s">
        <v>285</v>
      </c>
      <c r="B201" s="194" t="e">
        <f>IF(#REF!=A201,1,0)</f>
        <v>#REF!</v>
      </c>
      <c r="C201" s="194"/>
      <c r="D201" s="195">
        <v>76</v>
      </c>
      <c r="E201" s="196">
        <v>0.20899999999999999</v>
      </c>
      <c r="F201" s="196" t="e">
        <f t="shared" si="28"/>
        <v>#REF!</v>
      </c>
      <c r="G201" s="196">
        <v>0.88700000000000001</v>
      </c>
      <c r="H201" s="196" t="e">
        <f t="shared" si="29"/>
        <v>#REF!</v>
      </c>
      <c r="I201" s="195">
        <v>517</v>
      </c>
      <c r="J201" s="195" t="e">
        <f t="shared" si="30"/>
        <v>#REF!</v>
      </c>
      <c r="K201" s="195"/>
      <c r="L201" s="263">
        <v>0.56999999999999995</v>
      </c>
      <c r="M201" s="293">
        <v>294</v>
      </c>
      <c r="N201" s="280" t="e">
        <f t="shared" si="31"/>
        <v>#REF!</v>
      </c>
      <c r="O201" s="139"/>
    </row>
    <row r="202" spans="1:17" s="136" customFormat="1" ht="14.25" x14ac:dyDescent="0.25">
      <c r="A202" s="194" t="s">
        <v>286</v>
      </c>
      <c r="B202" s="194" t="e">
        <f>IF(#REF!=A202,1,0)</f>
        <v>#REF!</v>
      </c>
      <c r="C202" s="194"/>
      <c r="D202" s="195">
        <v>46</v>
      </c>
      <c r="E202" s="196">
        <v>0.16300000000000001</v>
      </c>
      <c r="F202" s="196" t="e">
        <f t="shared" si="28"/>
        <v>#REF!</v>
      </c>
      <c r="G202" s="196">
        <v>0.91799999999999993</v>
      </c>
      <c r="H202" s="196" t="e">
        <f t="shared" si="29"/>
        <v>#REF!</v>
      </c>
      <c r="I202" s="195">
        <v>572</v>
      </c>
      <c r="J202" s="195" t="e">
        <f t="shared" si="30"/>
        <v>#REF!</v>
      </c>
      <c r="K202" s="195"/>
      <c r="L202" s="263">
        <v>0.54</v>
      </c>
      <c r="M202" s="293">
        <v>306</v>
      </c>
      <c r="N202" s="280" t="e">
        <f t="shared" si="31"/>
        <v>#REF!</v>
      </c>
      <c r="O202" s="139"/>
    </row>
    <row r="203" spans="1:17" s="136" customFormat="1" ht="14.25" x14ac:dyDescent="0.25">
      <c r="A203" s="194" t="s">
        <v>287</v>
      </c>
      <c r="B203" s="194" t="e">
        <f>IF(#REF!=A203,1,0)</f>
        <v>#REF!</v>
      </c>
      <c r="C203" s="194"/>
      <c r="D203" s="195">
        <v>5</v>
      </c>
      <c r="E203" s="196">
        <v>9.3000000000000013E-2</v>
      </c>
      <c r="F203" s="196" t="e">
        <f t="shared" si="28"/>
        <v>#REF!</v>
      </c>
      <c r="G203" s="196">
        <v>0.80099999999999993</v>
      </c>
      <c r="H203" s="196" t="e">
        <f t="shared" si="29"/>
        <v>#REF!</v>
      </c>
      <c r="I203" s="195">
        <v>509</v>
      </c>
      <c r="J203" s="195" t="e">
        <f t="shared" si="30"/>
        <v>#REF!</v>
      </c>
      <c r="K203" s="195"/>
      <c r="L203" s="263">
        <v>0.6</v>
      </c>
      <c r="M203" s="293">
        <v>305</v>
      </c>
      <c r="N203" s="280" t="e">
        <f t="shared" si="31"/>
        <v>#REF!</v>
      </c>
      <c r="O203" s="139"/>
    </row>
    <row r="204" spans="1:17" s="136" customFormat="1" ht="14.25" x14ac:dyDescent="0.25">
      <c r="A204" s="194" t="s">
        <v>288</v>
      </c>
      <c r="B204" s="194" t="e">
        <f>IF(#REF!=A204,1,0)</f>
        <v>#REF!</v>
      </c>
      <c r="C204" s="194"/>
      <c r="D204" s="195">
        <v>8</v>
      </c>
      <c r="E204" s="196">
        <v>0.09</v>
      </c>
      <c r="F204" s="196" t="e">
        <f t="shared" si="28"/>
        <v>#REF!</v>
      </c>
      <c r="G204" s="196">
        <v>0.86299999999999999</v>
      </c>
      <c r="H204" s="196" t="e">
        <f t="shared" si="29"/>
        <v>#REF!</v>
      </c>
      <c r="I204" s="195">
        <v>606</v>
      </c>
      <c r="J204" s="195" t="e">
        <f t="shared" si="30"/>
        <v>#REF!</v>
      </c>
      <c r="K204" s="195"/>
      <c r="L204" s="263">
        <v>0.65</v>
      </c>
      <c r="M204" s="293">
        <v>390</v>
      </c>
      <c r="N204" s="280" t="e">
        <f t="shared" si="31"/>
        <v>#REF!</v>
      </c>
      <c r="O204" s="139"/>
    </row>
    <row r="205" spans="1:17" s="136" customFormat="1" ht="14.25" x14ac:dyDescent="0.25">
      <c r="A205" s="194" t="s">
        <v>289</v>
      </c>
      <c r="B205" s="194" t="e">
        <f>IF(#REF!=A205,1,0)</f>
        <v>#REF!</v>
      </c>
      <c r="C205" s="194"/>
      <c r="D205" s="195">
        <v>2</v>
      </c>
      <c r="E205" s="196">
        <v>0.13400000000000001</v>
      </c>
      <c r="F205" s="196" t="e">
        <f t="shared" si="28"/>
        <v>#REF!</v>
      </c>
      <c r="G205" s="196">
        <v>0.875</v>
      </c>
      <c r="H205" s="196" t="e">
        <f t="shared" si="29"/>
        <v>#REF!</v>
      </c>
      <c r="I205" s="195">
        <v>531</v>
      </c>
      <c r="J205" s="195" t="e">
        <f t="shared" si="30"/>
        <v>#REF!</v>
      </c>
      <c r="K205" s="195"/>
      <c r="L205" s="263">
        <v>0.6</v>
      </c>
      <c r="M205" s="293">
        <v>318</v>
      </c>
      <c r="N205" s="280" t="e">
        <f t="shared" si="31"/>
        <v>#REF!</v>
      </c>
      <c r="O205" s="139"/>
      <c r="P205" s="233"/>
      <c r="Q205" s="233"/>
    </row>
    <row r="206" spans="1:17" s="233" customFormat="1" ht="13.5" x14ac:dyDescent="0.25">
      <c r="A206" s="194" t="s">
        <v>290</v>
      </c>
      <c r="B206" s="194"/>
      <c r="C206" s="194"/>
      <c r="D206" s="206">
        <v>3</v>
      </c>
      <c r="E206" s="234">
        <v>22.7</v>
      </c>
      <c r="F206" s="234">
        <v>93.5</v>
      </c>
      <c r="G206" s="195">
        <v>574</v>
      </c>
      <c r="H206" s="195">
        <f t="shared" ref="H206:H211" si="32">G206*F206/100*E206/100</f>
        <v>121.82863000000002</v>
      </c>
      <c r="I206" s="234">
        <v>12</v>
      </c>
      <c r="J206" s="234">
        <v>50</v>
      </c>
      <c r="K206" s="195"/>
      <c r="L206" s="274"/>
      <c r="M206" s="302">
        <f t="shared" ref="M206:M211" si="33">ROUND(E206/100*F206/100*G206*J206/100,0)</f>
        <v>61</v>
      </c>
    </row>
    <row r="207" spans="1:17" s="233" customFormat="1" ht="13.5" x14ac:dyDescent="0.25">
      <c r="A207" s="194" t="s">
        <v>217</v>
      </c>
      <c r="B207" s="194"/>
      <c r="C207" s="194"/>
      <c r="D207" s="206">
        <v>5</v>
      </c>
      <c r="E207" s="234">
        <v>88.7</v>
      </c>
      <c r="F207" s="234">
        <v>96.2</v>
      </c>
      <c r="G207" s="195">
        <v>651</v>
      </c>
      <c r="H207" s="195">
        <f t="shared" si="32"/>
        <v>555.49439400000006</v>
      </c>
      <c r="I207" s="234">
        <v>12</v>
      </c>
      <c r="J207" s="234">
        <v>57</v>
      </c>
      <c r="K207" s="195"/>
      <c r="L207" s="275" t="e">
        <f>(-1+#REF!/K207)*100</f>
        <v>#REF!</v>
      </c>
      <c r="M207" s="302">
        <f t="shared" si="33"/>
        <v>317</v>
      </c>
    </row>
    <row r="208" spans="1:17" s="233" customFormat="1" ht="13.5" x14ac:dyDescent="0.25">
      <c r="A208" s="194" t="s">
        <v>232</v>
      </c>
      <c r="B208" s="194"/>
      <c r="C208" s="194"/>
      <c r="D208" s="206">
        <v>3</v>
      </c>
      <c r="E208" s="234">
        <v>88.8</v>
      </c>
      <c r="F208" s="234">
        <v>94.4</v>
      </c>
      <c r="G208" s="195">
        <v>773</v>
      </c>
      <c r="H208" s="195">
        <f t="shared" si="32"/>
        <v>647.98425600000007</v>
      </c>
      <c r="I208" s="234">
        <v>2</v>
      </c>
      <c r="J208" s="234">
        <v>54</v>
      </c>
      <c r="K208" s="195"/>
      <c r="L208" s="276"/>
      <c r="M208" s="302">
        <f t="shared" si="33"/>
        <v>350</v>
      </c>
    </row>
    <row r="209" spans="1:17" s="233" customFormat="1" ht="13.5" x14ac:dyDescent="0.25">
      <c r="A209" s="194" t="s">
        <v>249</v>
      </c>
      <c r="B209" s="194"/>
      <c r="C209" s="194"/>
      <c r="D209" s="206">
        <v>5</v>
      </c>
      <c r="E209" s="234">
        <v>92.3</v>
      </c>
      <c r="F209" s="234">
        <v>87.6</v>
      </c>
      <c r="G209" s="195">
        <v>659</v>
      </c>
      <c r="H209" s="195">
        <f t="shared" si="32"/>
        <v>532.83313199999998</v>
      </c>
      <c r="I209" s="234">
        <v>4</v>
      </c>
      <c r="J209" s="234">
        <v>59</v>
      </c>
      <c r="K209" s="195"/>
      <c r="L209" s="277" t="e">
        <f>(-1+K209/#REF!)*100</f>
        <v>#REF!</v>
      </c>
      <c r="M209" s="302">
        <f t="shared" si="33"/>
        <v>314</v>
      </c>
    </row>
    <row r="210" spans="1:17" s="233" customFormat="1" ht="13.5" x14ac:dyDescent="0.25">
      <c r="A210" s="194" t="s">
        <v>291</v>
      </c>
      <c r="B210" s="194"/>
      <c r="C210" s="194"/>
      <c r="D210" s="206">
        <v>3</v>
      </c>
      <c r="E210" s="234">
        <v>4.5999999999999996</v>
      </c>
      <c r="F210" s="234">
        <v>75</v>
      </c>
      <c r="G210" s="195">
        <v>757</v>
      </c>
      <c r="H210" s="195">
        <f t="shared" si="32"/>
        <v>26.116499999999995</v>
      </c>
      <c r="I210" s="234">
        <v>21</v>
      </c>
      <c r="J210" s="234">
        <v>54</v>
      </c>
      <c r="K210" s="195"/>
      <c r="L210" s="276"/>
      <c r="M210" s="302">
        <f t="shared" si="33"/>
        <v>14</v>
      </c>
    </row>
    <row r="211" spans="1:17" s="233" customFormat="1" ht="14.25" x14ac:dyDescent="0.25">
      <c r="A211" s="194" t="s">
        <v>258</v>
      </c>
      <c r="B211" s="194"/>
      <c r="C211" s="194"/>
      <c r="D211" s="206">
        <v>3</v>
      </c>
      <c r="E211" s="234">
        <v>25.4</v>
      </c>
      <c r="F211" s="234">
        <v>90.9</v>
      </c>
      <c r="G211" s="195">
        <v>747</v>
      </c>
      <c r="H211" s="195">
        <f t="shared" si="32"/>
        <v>172.47184200000001</v>
      </c>
      <c r="I211" s="234">
        <v>11</v>
      </c>
      <c r="J211" s="234">
        <v>58</v>
      </c>
      <c r="K211" s="195"/>
      <c r="L211" s="274"/>
      <c r="M211" s="302">
        <f t="shared" si="33"/>
        <v>100</v>
      </c>
      <c r="P211" s="136"/>
      <c r="Q211" s="136"/>
    </row>
    <row r="212" spans="1:17" s="136" customFormat="1" ht="14.25" x14ac:dyDescent="0.25">
      <c r="A212" s="139" t="s">
        <v>156</v>
      </c>
      <c r="B212" s="139"/>
      <c r="C212" s="139"/>
      <c r="D212" s="139"/>
      <c r="E212" s="139"/>
      <c r="F212" s="235" t="e">
        <f>SUM(F85:F205)</f>
        <v>#REF!</v>
      </c>
      <c r="G212" s="139"/>
      <c r="H212" s="235" t="e">
        <f>SUM(H85:H205)</f>
        <v>#REF!</v>
      </c>
      <c r="I212" s="139"/>
      <c r="J212" s="236" t="e">
        <f>SUM(J85:J205)</f>
        <v>#REF!</v>
      </c>
      <c r="K212" s="139"/>
      <c r="L212" s="139"/>
      <c r="M212" s="303"/>
      <c r="N212" s="235" t="e">
        <f>SUM(N85:N205)</f>
        <v>#REF!</v>
      </c>
      <c r="O212" s="139"/>
    </row>
    <row r="213" spans="1:17" s="136" customFormat="1" ht="14.25" x14ac:dyDescent="0.25">
      <c r="A213" s="139"/>
      <c r="B213" s="139"/>
      <c r="C213" s="139"/>
      <c r="D213" s="139"/>
      <c r="E213" s="139"/>
      <c r="F213" s="139"/>
      <c r="G213" s="139"/>
      <c r="H213" s="139"/>
      <c r="I213" s="139"/>
      <c r="J213" s="139"/>
      <c r="K213" s="139"/>
      <c r="L213" s="139"/>
      <c r="M213" s="303"/>
      <c r="N213" s="139"/>
      <c r="O213" s="139"/>
    </row>
    <row r="214" spans="1:17" s="136" customFormat="1" ht="40.5" x14ac:dyDescent="0.25">
      <c r="A214" s="193" t="s">
        <v>34</v>
      </c>
      <c r="B214" s="193"/>
      <c r="C214" s="193"/>
      <c r="D214" s="193" t="s">
        <v>186</v>
      </c>
      <c r="E214" s="193" t="s">
        <v>187</v>
      </c>
      <c r="F214" s="193"/>
      <c r="G214" s="193" t="s">
        <v>188</v>
      </c>
      <c r="H214" s="193"/>
      <c r="I214" s="193" t="s">
        <v>189</v>
      </c>
      <c r="J214" s="193"/>
      <c r="K214" s="193"/>
      <c r="L214" s="262" t="s">
        <v>191</v>
      </c>
      <c r="M214" s="292" t="s">
        <v>292</v>
      </c>
      <c r="N214" s="139"/>
      <c r="O214" s="139"/>
    </row>
    <row r="215" spans="1:17" s="136" customFormat="1" ht="14.25" x14ac:dyDescent="0.25">
      <c r="A215" s="194" t="s">
        <v>293</v>
      </c>
      <c r="B215" s="194">
        <v>1</v>
      </c>
      <c r="C215" s="194"/>
      <c r="D215" s="195"/>
      <c r="E215" s="196">
        <v>0</v>
      </c>
      <c r="F215" s="196">
        <f t="shared" ref="F215:F244" si="34">IF(B215=1,E215,0)</f>
        <v>0</v>
      </c>
      <c r="G215" s="196">
        <v>0</v>
      </c>
      <c r="H215" s="196">
        <f t="shared" ref="H215:H244" si="35">IF(B215=1,G215,0)</f>
        <v>0</v>
      </c>
      <c r="I215" s="195">
        <v>0</v>
      </c>
      <c r="J215" s="195">
        <f t="shared" ref="J215:J244" si="36">IF(B215=1,I215,0)</f>
        <v>0</v>
      </c>
      <c r="K215" s="195"/>
      <c r="L215" s="263">
        <v>0</v>
      </c>
      <c r="M215" s="293">
        <v>0</v>
      </c>
      <c r="N215" s="280">
        <f t="shared" ref="N215:N244" si="37">IF(B215=1,L215,0)</f>
        <v>0</v>
      </c>
      <c r="O215" s="139"/>
    </row>
    <row r="216" spans="1:17" s="136" customFormat="1" ht="14.25" x14ac:dyDescent="0.25">
      <c r="A216" s="194" t="s">
        <v>32</v>
      </c>
      <c r="B216" s="194" t="e">
        <f>IF(#REF!=A216,1,0)</f>
        <v>#REF!</v>
      </c>
      <c r="C216" s="194"/>
      <c r="D216" s="195">
        <v>5</v>
      </c>
      <c r="E216" s="196">
        <v>0.54799999999999993</v>
      </c>
      <c r="F216" s="196" t="e">
        <f t="shared" si="34"/>
        <v>#REF!</v>
      </c>
      <c r="G216" s="196">
        <v>0.78599999999999992</v>
      </c>
      <c r="H216" s="196" t="e">
        <f t="shared" si="35"/>
        <v>#REF!</v>
      </c>
      <c r="I216" s="195">
        <v>531</v>
      </c>
      <c r="J216" s="195" t="e">
        <f t="shared" si="36"/>
        <v>#REF!</v>
      </c>
      <c r="K216" s="195"/>
      <c r="L216" s="263">
        <v>0.61</v>
      </c>
      <c r="M216" s="293">
        <v>325</v>
      </c>
      <c r="N216" s="280" t="e">
        <f t="shared" si="37"/>
        <v>#REF!</v>
      </c>
      <c r="O216" s="139"/>
    </row>
    <row r="217" spans="1:17" s="136" customFormat="1" ht="14.25" x14ac:dyDescent="0.25">
      <c r="A217" s="200" t="s">
        <v>158</v>
      </c>
      <c r="B217" s="200" t="e">
        <f>IF(#REF!=A217,1,0)</f>
        <v>#REF!</v>
      </c>
      <c r="C217" s="200"/>
      <c r="D217" s="201"/>
      <c r="E217" s="202">
        <v>0.22900000000000001</v>
      </c>
      <c r="F217" s="202" t="e">
        <f t="shared" si="34"/>
        <v>#REF!</v>
      </c>
      <c r="G217" s="202">
        <v>0.82199999999999995</v>
      </c>
      <c r="H217" s="202" t="e">
        <f t="shared" si="35"/>
        <v>#REF!</v>
      </c>
      <c r="I217" s="201">
        <v>350</v>
      </c>
      <c r="J217" s="201" t="e">
        <f t="shared" si="36"/>
        <v>#REF!</v>
      </c>
      <c r="K217" s="201"/>
      <c r="L217" s="265">
        <v>0.57999999999999996</v>
      </c>
      <c r="M217" s="295"/>
      <c r="N217" s="282" t="e">
        <f t="shared" si="37"/>
        <v>#REF!</v>
      </c>
      <c r="O217" s="139" t="s">
        <v>294</v>
      </c>
    </row>
    <row r="218" spans="1:17" s="136" customFormat="1" ht="14.25" x14ac:dyDescent="0.25">
      <c r="A218" s="200" t="s">
        <v>25</v>
      </c>
      <c r="B218" s="200" t="e">
        <f>IF(#REF!=A218,1,0)</f>
        <v>#REF!</v>
      </c>
      <c r="C218" s="200"/>
      <c r="D218" s="201"/>
      <c r="E218" s="202">
        <v>8.8999999999999996E-2</v>
      </c>
      <c r="F218" s="202" t="e">
        <f t="shared" si="34"/>
        <v>#REF!</v>
      </c>
      <c r="G218" s="202">
        <v>0.78900000000000003</v>
      </c>
      <c r="H218" s="202" t="e">
        <f t="shared" si="35"/>
        <v>#REF!</v>
      </c>
      <c r="I218" s="201">
        <v>384</v>
      </c>
      <c r="J218" s="201" t="e">
        <f t="shared" si="36"/>
        <v>#REF!</v>
      </c>
      <c r="K218" s="201"/>
      <c r="L218" s="265">
        <v>0.59899999999999998</v>
      </c>
      <c r="M218" s="295"/>
      <c r="N218" s="282" t="e">
        <f t="shared" si="37"/>
        <v>#REF!</v>
      </c>
      <c r="O218" s="139" t="s">
        <v>294</v>
      </c>
    </row>
    <row r="219" spans="1:17" s="136" customFormat="1" ht="14.25" x14ac:dyDescent="0.25">
      <c r="A219" s="194" t="s">
        <v>196</v>
      </c>
      <c r="B219" s="194" t="e">
        <f>IF(#REF!=A219,1,0)</f>
        <v>#REF!</v>
      </c>
      <c r="C219" s="194"/>
      <c r="D219" s="195">
        <v>34</v>
      </c>
      <c r="E219" s="196">
        <v>0.05</v>
      </c>
      <c r="F219" s="196" t="e">
        <f t="shared" si="34"/>
        <v>#REF!</v>
      </c>
      <c r="G219" s="196">
        <v>0.72599999999999998</v>
      </c>
      <c r="H219" s="196" t="e">
        <f t="shared" si="35"/>
        <v>#REF!</v>
      </c>
      <c r="I219" s="195">
        <v>372</v>
      </c>
      <c r="J219" s="195" t="e">
        <f t="shared" si="36"/>
        <v>#REF!</v>
      </c>
      <c r="K219" s="195"/>
      <c r="L219" s="263" t="s">
        <v>197</v>
      </c>
      <c r="M219" s="293" t="s">
        <v>197</v>
      </c>
      <c r="N219" s="280" t="e">
        <f t="shared" si="37"/>
        <v>#REF!</v>
      </c>
      <c r="O219" s="139"/>
    </row>
    <row r="220" spans="1:17" s="136" customFormat="1" thickBot="1" x14ac:dyDescent="0.3">
      <c r="A220" s="210" t="s">
        <v>159</v>
      </c>
      <c r="B220" s="210" t="e">
        <f>IF(#REF!=A220,1,0)</f>
        <v>#REF!</v>
      </c>
      <c r="C220" s="210"/>
      <c r="D220" s="211">
        <v>6</v>
      </c>
      <c r="E220" s="212">
        <v>0.27200000000000002</v>
      </c>
      <c r="F220" s="212" t="e">
        <f t="shared" si="34"/>
        <v>#REF!</v>
      </c>
      <c r="G220" s="212">
        <v>0.84200000000000008</v>
      </c>
      <c r="H220" s="212" t="e">
        <f t="shared" si="35"/>
        <v>#REF!</v>
      </c>
      <c r="I220" s="211">
        <v>491</v>
      </c>
      <c r="J220" s="211" t="e">
        <f t="shared" si="36"/>
        <v>#REF!</v>
      </c>
      <c r="K220" s="211"/>
      <c r="L220" s="269">
        <v>0.52</v>
      </c>
      <c r="M220" s="293">
        <v>253</v>
      </c>
      <c r="N220" s="280" t="e">
        <f t="shared" si="37"/>
        <v>#REF!</v>
      </c>
      <c r="O220" s="139"/>
    </row>
    <row r="221" spans="1:17" s="136" customFormat="1" ht="14.25" x14ac:dyDescent="0.25">
      <c r="A221" s="225" t="s">
        <v>276</v>
      </c>
      <c r="B221" s="225" t="e">
        <f>IF(#REF!=A221,1,0)</f>
        <v>#REF!</v>
      </c>
      <c r="C221" s="225"/>
      <c r="D221" s="213">
        <v>51</v>
      </c>
      <c r="E221" s="220">
        <v>0.22399999999999998</v>
      </c>
      <c r="F221" s="220" t="e">
        <f t="shared" si="34"/>
        <v>#REF!</v>
      </c>
      <c r="G221" s="220">
        <v>0.90200000000000002</v>
      </c>
      <c r="H221" s="220" t="e">
        <f t="shared" si="35"/>
        <v>#REF!</v>
      </c>
      <c r="I221" s="213">
        <v>603</v>
      </c>
      <c r="J221" s="213" t="e">
        <f t="shared" si="36"/>
        <v>#REF!</v>
      </c>
      <c r="K221" s="213"/>
      <c r="L221" s="278">
        <v>0.5</v>
      </c>
      <c r="M221" s="293">
        <v>304</v>
      </c>
      <c r="N221" s="280" t="e">
        <f t="shared" si="37"/>
        <v>#REF!</v>
      </c>
      <c r="O221" s="139"/>
    </row>
    <row r="222" spans="1:17" s="136" customFormat="1" ht="14.25" x14ac:dyDescent="0.25">
      <c r="A222" s="200" t="s">
        <v>162</v>
      </c>
      <c r="B222" s="200" t="e">
        <f>IF(#REF!=A222,1,0)</f>
        <v>#REF!</v>
      </c>
      <c r="C222" s="200"/>
      <c r="D222" s="201"/>
      <c r="E222" s="202">
        <v>0.28199999999999997</v>
      </c>
      <c r="F222" s="202" t="e">
        <f t="shared" si="34"/>
        <v>#REF!</v>
      </c>
      <c r="G222" s="202">
        <v>0.89700000000000002</v>
      </c>
      <c r="H222" s="202" t="e">
        <f t="shared" si="35"/>
        <v>#REF!</v>
      </c>
      <c r="I222" s="231">
        <v>567</v>
      </c>
      <c r="J222" s="201" t="e">
        <f t="shared" si="36"/>
        <v>#REF!</v>
      </c>
      <c r="K222" s="201"/>
      <c r="L222" s="265">
        <v>0.55700000000000005</v>
      </c>
      <c r="M222" s="300"/>
      <c r="N222" s="282" t="e">
        <f t="shared" si="37"/>
        <v>#REF!</v>
      </c>
      <c r="O222" s="139" t="s">
        <v>294</v>
      </c>
    </row>
    <row r="223" spans="1:17" s="136" customFormat="1" ht="14.25" x14ac:dyDescent="0.25">
      <c r="A223" s="194" t="s">
        <v>277</v>
      </c>
      <c r="B223" s="194" t="e">
        <f>IF(#REF!=A223,1,0)</f>
        <v>#REF!</v>
      </c>
      <c r="C223" s="194"/>
      <c r="D223" s="195">
        <v>28</v>
      </c>
      <c r="E223" s="196">
        <v>0.52700000000000002</v>
      </c>
      <c r="F223" s="196" t="e">
        <f t="shared" si="34"/>
        <v>#REF!</v>
      </c>
      <c r="G223" s="196">
        <v>0.90500000000000003</v>
      </c>
      <c r="H223" s="196" t="e">
        <f t="shared" si="35"/>
        <v>#REF!</v>
      </c>
      <c r="I223" s="195">
        <v>571</v>
      </c>
      <c r="J223" s="195" t="e">
        <f t="shared" si="36"/>
        <v>#REF!</v>
      </c>
      <c r="K223" s="195"/>
      <c r="L223" s="263">
        <v>0.53</v>
      </c>
      <c r="M223" s="293">
        <v>306</v>
      </c>
      <c r="N223" s="280" t="e">
        <f t="shared" si="37"/>
        <v>#REF!</v>
      </c>
      <c r="O223" s="139"/>
    </row>
    <row r="224" spans="1:17" s="136" customFormat="1" ht="14.25" x14ac:dyDescent="0.25">
      <c r="A224" s="194" t="s">
        <v>278</v>
      </c>
      <c r="B224" s="194" t="e">
        <f>IF(#REF!=A224,1,0)</f>
        <v>#REF!</v>
      </c>
      <c r="C224" s="194"/>
      <c r="D224" s="195">
        <v>16</v>
      </c>
      <c r="E224" s="196">
        <v>0.182</v>
      </c>
      <c r="F224" s="196" t="e">
        <f t="shared" si="34"/>
        <v>#REF!</v>
      </c>
      <c r="G224" s="196">
        <v>0.90300000000000002</v>
      </c>
      <c r="H224" s="196" t="e">
        <f t="shared" si="35"/>
        <v>#REF!</v>
      </c>
      <c r="I224" s="195">
        <v>606</v>
      </c>
      <c r="J224" s="195" t="e">
        <f t="shared" si="36"/>
        <v>#REF!</v>
      </c>
      <c r="K224" s="195"/>
      <c r="L224" s="263">
        <v>0.6</v>
      </c>
      <c r="M224" s="293">
        <v>361</v>
      </c>
      <c r="N224" s="280" t="e">
        <f t="shared" si="37"/>
        <v>#REF!</v>
      </c>
      <c r="O224" s="139"/>
    </row>
    <row r="225" spans="1:15" s="136" customFormat="1" ht="14.25" x14ac:dyDescent="0.25">
      <c r="A225" s="194" t="s">
        <v>279</v>
      </c>
      <c r="B225" s="194" t="e">
        <f>IF(#REF!=A225,1,0)</f>
        <v>#REF!</v>
      </c>
      <c r="C225" s="194"/>
      <c r="D225" s="195">
        <v>14</v>
      </c>
      <c r="E225" s="196">
        <v>0.16399999999999998</v>
      </c>
      <c r="F225" s="196" t="e">
        <f t="shared" si="34"/>
        <v>#REF!</v>
      </c>
      <c r="G225" s="196">
        <v>0.89500000000000002</v>
      </c>
      <c r="H225" s="196" t="e">
        <f t="shared" si="35"/>
        <v>#REF!</v>
      </c>
      <c r="I225" s="195">
        <v>546</v>
      </c>
      <c r="J225" s="195" t="e">
        <f t="shared" si="36"/>
        <v>#REF!</v>
      </c>
      <c r="K225" s="195"/>
      <c r="L225" s="263">
        <v>0.5</v>
      </c>
      <c r="M225" s="293">
        <v>274</v>
      </c>
      <c r="N225" s="280" t="e">
        <f t="shared" si="37"/>
        <v>#REF!</v>
      </c>
      <c r="O225" s="139"/>
    </row>
    <row r="226" spans="1:15" s="136" customFormat="1" ht="14.25" x14ac:dyDescent="0.25">
      <c r="A226" s="194" t="s">
        <v>280</v>
      </c>
      <c r="B226" s="194" t="e">
        <f>IF(#REF!=A226,1,0)</f>
        <v>#REF!</v>
      </c>
      <c r="C226" s="194"/>
      <c r="D226" s="195">
        <v>20</v>
      </c>
      <c r="E226" s="196">
        <v>0.20899999999999999</v>
      </c>
      <c r="F226" s="196" t="e">
        <f t="shared" si="34"/>
        <v>#REF!</v>
      </c>
      <c r="G226" s="196">
        <v>0.89</v>
      </c>
      <c r="H226" s="196" t="e">
        <f t="shared" si="35"/>
        <v>#REF!</v>
      </c>
      <c r="I226" s="195">
        <v>56</v>
      </c>
      <c r="J226" s="195" t="e">
        <f t="shared" si="36"/>
        <v>#REF!</v>
      </c>
      <c r="K226" s="195"/>
      <c r="L226" s="263">
        <v>0.56000000000000005</v>
      </c>
      <c r="M226" s="293">
        <v>283</v>
      </c>
      <c r="N226" s="280" t="e">
        <f t="shared" si="37"/>
        <v>#REF!</v>
      </c>
      <c r="O226" s="139"/>
    </row>
    <row r="227" spans="1:15" s="136" customFormat="1" ht="14.25" x14ac:dyDescent="0.25">
      <c r="A227" s="194" t="s">
        <v>199</v>
      </c>
      <c r="B227" s="194" t="e">
        <f>IF(#REF!=A227,1,0)</f>
        <v>#REF!</v>
      </c>
      <c r="C227" s="194"/>
      <c r="D227" s="195">
        <v>59</v>
      </c>
      <c r="E227" s="196">
        <v>0.24299999999999999</v>
      </c>
      <c r="F227" s="196" t="e">
        <f t="shared" si="34"/>
        <v>#REF!</v>
      </c>
      <c r="G227" s="196">
        <v>0.95200000000000007</v>
      </c>
      <c r="H227" s="196" t="e">
        <f t="shared" si="35"/>
        <v>#REF!</v>
      </c>
      <c r="I227" s="195">
        <v>642</v>
      </c>
      <c r="J227" s="195" t="e">
        <f t="shared" si="36"/>
        <v>#REF!</v>
      </c>
      <c r="K227" s="195"/>
      <c r="L227" s="263">
        <v>0.54</v>
      </c>
      <c r="M227" s="293">
        <v>347</v>
      </c>
      <c r="N227" s="280" t="e">
        <f t="shared" si="37"/>
        <v>#REF!</v>
      </c>
      <c r="O227" s="139"/>
    </row>
    <row r="228" spans="1:15" s="136" customFormat="1" ht="14.25" x14ac:dyDescent="0.25">
      <c r="A228" s="200" t="s">
        <v>161</v>
      </c>
      <c r="B228" s="200" t="e">
        <f>IF(#REF!=A228,1,0)</f>
        <v>#REF!</v>
      </c>
      <c r="C228" s="200"/>
      <c r="D228" s="201"/>
      <c r="E228" s="202">
        <v>0.35099999999999998</v>
      </c>
      <c r="F228" s="202" t="e">
        <f t="shared" si="34"/>
        <v>#REF!</v>
      </c>
      <c r="G228" s="202">
        <v>0.96499999999999997</v>
      </c>
      <c r="H228" s="202" t="e">
        <f t="shared" si="35"/>
        <v>#REF!</v>
      </c>
      <c r="I228" s="201">
        <v>658</v>
      </c>
      <c r="J228" s="201" t="e">
        <f t="shared" si="36"/>
        <v>#REF!</v>
      </c>
      <c r="K228" s="201"/>
      <c r="L228" s="265">
        <v>0.54300000000000004</v>
      </c>
      <c r="M228" s="295"/>
      <c r="N228" s="282" t="e">
        <f t="shared" si="37"/>
        <v>#REF!</v>
      </c>
      <c r="O228" s="139" t="s">
        <v>294</v>
      </c>
    </row>
    <row r="229" spans="1:15" s="136" customFormat="1" ht="14.25" x14ac:dyDescent="0.25">
      <c r="A229" s="194" t="s">
        <v>200</v>
      </c>
      <c r="B229" s="194" t="e">
        <f>IF(#REF!=A229,1,0)</f>
        <v>#REF!</v>
      </c>
      <c r="C229" s="194"/>
      <c r="D229" s="195">
        <v>59</v>
      </c>
      <c r="E229" s="196">
        <v>0.40299999999999997</v>
      </c>
      <c r="F229" s="196" t="e">
        <f t="shared" si="34"/>
        <v>#REF!</v>
      </c>
      <c r="G229" s="196">
        <v>0.96099999999999997</v>
      </c>
      <c r="H229" s="196" t="e">
        <f t="shared" si="35"/>
        <v>#REF!</v>
      </c>
      <c r="I229" s="195">
        <v>627</v>
      </c>
      <c r="J229" s="195" t="e">
        <f t="shared" si="36"/>
        <v>#REF!</v>
      </c>
      <c r="K229" s="195"/>
      <c r="L229" s="263">
        <v>0.53</v>
      </c>
      <c r="M229" s="293">
        <v>332</v>
      </c>
      <c r="N229" s="280" t="e">
        <f t="shared" si="37"/>
        <v>#REF!</v>
      </c>
      <c r="O229" s="139"/>
    </row>
    <row r="230" spans="1:15" s="136" customFormat="1" ht="14.25" x14ac:dyDescent="0.25">
      <c r="A230" s="194" t="s">
        <v>201</v>
      </c>
      <c r="B230" s="194" t="e">
        <f>IF(#REF!=A230,1,0)</f>
        <v>#REF!</v>
      </c>
      <c r="C230" s="194"/>
      <c r="D230" s="195">
        <v>6</v>
      </c>
      <c r="E230" s="196">
        <v>0.53400000000000003</v>
      </c>
      <c r="F230" s="196" t="e">
        <f t="shared" si="34"/>
        <v>#REF!</v>
      </c>
      <c r="G230" s="196">
        <v>0.97799999999999998</v>
      </c>
      <c r="H230" s="196" t="e">
        <f t="shared" si="35"/>
        <v>#REF!</v>
      </c>
      <c r="I230" s="195">
        <v>720</v>
      </c>
      <c r="J230" s="195" t="e">
        <f t="shared" si="36"/>
        <v>#REF!</v>
      </c>
      <c r="K230" s="195"/>
      <c r="L230" s="263">
        <v>0.54</v>
      </c>
      <c r="M230" s="293">
        <v>387</v>
      </c>
      <c r="N230" s="280" t="e">
        <f t="shared" si="37"/>
        <v>#REF!</v>
      </c>
      <c r="O230" s="139"/>
    </row>
    <row r="231" spans="1:15" s="136" customFormat="1" ht="14.25" x14ac:dyDescent="0.25">
      <c r="A231" s="194" t="s">
        <v>202</v>
      </c>
      <c r="B231" s="194" t="e">
        <f>IF(#REF!=A231,1,0)</f>
        <v>#REF!</v>
      </c>
      <c r="C231" s="194"/>
      <c r="D231" s="195">
        <v>3</v>
      </c>
      <c r="E231" s="196">
        <v>0.79900000000000004</v>
      </c>
      <c r="F231" s="196" t="e">
        <f t="shared" si="34"/>
        <v>#REF!</v>
      </c>
      <c r="G231" s="196">
        <v>0.94799999999999995</v>
      </c>
      <c r="H231" s="196" t="e">
        <f t="shared" si="35"/>
        <v>#REF!</v>
      </c>
      <c r="I231" s="195">
        <v>764</v>
      </c>
      <c r="J231" s="195" t="e">
        <f t="shared" si="36"/>
        <v>#REF!</v>
      </c>
      <c r="K231" s="195"/>
      <c r="L231" s="263">
        <v>0.51</v>
      </c>
      <c r="M231" s="293">
        <v>385</v>
      </c>
      <c r="N231" s="280" t="e">
        <f t="shared" si="37"/>
        <v>#REF!</v>
      </c>
      <c r="O231" s="139"/>
    </row>
    <row r="232" spans="1:15" s="136" customFormat="1" ht="14.25" x14ac:dyDescent="0.25">
      <c r="A232" s="194" t="s">
        <v>281</v>
      </c>
      <c r="B232" s="194" t="e">
        <f>IF(#REF!=A232,1,0)</f>
        <v>#REF!</v>
      </c>
      <c r="C232" s="194"/>
      <c r="D232" s="195">
        <v>20</v>
      </c>
      <c r="E232" s="196">
        <v>0.26600000000000001</v>
      </c>
      <c r="F232" s="196" t="e">
        <f t="shared" si="34"/>
        <v>#REF!</v>
      </c>
      <c r="G232" s="196">
        <v>0.93299999999999994</v>
      </c>
      <c r="H232" s="196" t="e">
        <f t="shared" si="35"/>
        <v>#REF!</v>
      </c>
      <c r="I232" s="195">
        <v>577</v>
      </c>
      <c r="J232" s="195" t="e">
        <f t="shared" si="36"/>
        <v>#REF!</v>
      </c>
      <c r="K232" s="195"/>
      <c r="L232" s="263">
        <v>0.54</v>
      </c>
      <c r="M232" s="293">
        <v>312</v>
      </c>
      <c r="N232" s="280" t="e">
        <f t="shared" si="37"/>
        <v>#REF!</v>
      </c>
      <c r="O232" s="139"/>
    </row>
    <row r="233" spans="1:15" s="136" customFormat="1" ht="14.25" x14ac:dyDescent="0.25">
      <c r="A233" s="194" t="s">
        <v>160</v>
      </c>
      <c r="B233" s="194" t="e">
        <f>IF(#REF!=A233,1,0)</f>
        <v>#REF!</v>
      </c>
      <c r="C233" s="194"/>
      <c r="D233" s="195">
        <v>50</v>
      </c>
      <c r="E233" s="196">
        <v>0.25700000000000001</v>
      </c>
      <c r="F233" s="196" t="e">
        <f t="shared" si="34"/>
        <v>#REF!</v>
      </c>
      <c r="G233" s="196">
        <v>0.92900000000000005</v>
      </c>
      <c r="H233" s="196" t="e">
        <f t="shared" si="35"/>
        <v>#REF!</v>
      </c>
      <c r="I233" s="195">
        <v>608</v>
      </c>
      <c r="J233" s="195" t="e">
        <f t="shared" si="36"/>
        <v>#REF!</v>
      </c>
      <c r="K233" s="195"/>
      <c r="L233" s="263">
        <v>0.56000000000000005</v>
      </c>
      <c r="M233" s="293">
        <v>336</v>
      </c>
      <c r="N233" s="280" t="e">
        <f t="shared" si="37"/>
        <v>#REF!</v>
      </c>
      <c r="O233" s="139"/>
    </row>
    <row r="234" spans="1:15" s="136" customFormat="1" ht="14.25" x14ac:dyDescent="0.25">
      <c r="A234" s="194" t="s">
        <v>282</v>
      </c>
      <c r="B234" s="194" t="e">
        <f>IF(#REF!=A234,1,0)</f>
        <v>#REF!</v>
      </c>
      <c r="C234" s="194"/>
      <c r="D234" s="195">
        <v>17</v>
      </c>
      <c r="E234" s="196">
        <v>0.27300000000000002</v>
      </c>
      <c r="F234" s="196" t="e">
        <f t="shared" si="34"/>
        <v>#REF!</v>
      </c>
      <c r="G234" s="196">
        <v>0.93900000000000006</v>
      </c>
      <c r="H234" s="196" t="e">
        <f t="shared" si="35"/>
        <v>#REF!</v>
      </c>
      <c r="I234" s="195">
        <v>541</v>
      </c>
      <c r="J234" s="195" t="e">
        <f t="shared" si="36"/>
        <v>#REF!</v>
      </c>
      <c r="K234" s="195"/>
      <c r="L234" s="263">
        <v>0.56000000000000005</v>
      </c>
      <c r="M234" s="293">
        <v>298</v>
      </c>
      <c r="N234" s="280" t="e">
        <f t="shared" si="37"/>
        <v>#REF!</v>
      </c>
      <c r="O234" s="139"/>
    </row>
    <row r="235" spans="1:15" s="136" customFormat="1" ht="14.25" x14ac:dyDescent="0.25">
      <c r="A235" s="194" t="s">
        <v>283</v>
      </c>
      <c r="B235" s="194" t="e">
        <f>IF(#REF!=A235,1,0)</f>
        <v>#REF!</v>
      </c>
      <c r="C235" s="194"/>
      <c r="D235" s="195">
        <v>4</v>
      </c>
      <c r="E235" s="196">
        <v>0.29199999999999998</v>
      </c>
      <c r="F235" s="196" t="e">
        <f t="shared" si="34"/>
        <v>#REF!</v>
      </c>
      <c r="G235" s="196">
        <v>0.93500000000000005</v>
      </c>
      <c r="H235" s="196" t="e">
        <f t="shared" si="35"/>
        <v>#REF!</v>
      </c>
      <c r="I235" s="195">
        <v>609</v>
      </c>
      <c r="J235" s="195" t="e">
        <f t="shared" si="36"/>
        <v>#REF!</v>
      </c>
      <c r="K235" s="195"/>
      <c r="L235" s="263">
        <v>0.56999999999999995</v>
      </c>
      <c r="M235" s="293">
        <v>348</v>
      </c>
      <c r="N235" s="280" t="e">
        <f t="shared" si="37"/>
        <v>#REF!</v>
      </c>
      <c r="O235" s="139"/>
    </row>
    <row r="236" spans="1:15" s="136" customFormat="1" ht="14.25" x14ac:dyDescent="0.25">
      <c r="A236" s="200" t="s">
        <v>163</v>
      </c>
      <c r="B236" s="200" t="e">
        <f>IF(#REF!=A236,1,0)</f>
        <v>#REF!</v>
      </c>
      <c r="C236" s="200"/>
      <c r="D236" s="201"/>
      <c r="E236" s="202">
        <v>0.32800000000000001</v>
      </c>
      <c r="F236" s="202" t="e">
        <f>IF(B236=1,E236,0)</f>
        <v>#REF!</v>
      </c>
      <c r="G236" s="202">
        <v>0.93700000000000006</v>
      </c>
      <c r="H236" s="202" t="e">
        <f>IF(B236=1,G236,0)</f>
        <v>#REF!</v>
      </c>
      <c r="I236" s="201">
        <v>624</v>
      </c>
      <c r="J236" s="201" t="e">
        <f>IF(B236=1,I236,0)</f>
        <v>#REF!</v>
      </c>
      <c r="K236" s="201"/>
      <c r="L236" s="265">
        <v>0.56000000000000005</v>
      </c>
      <c r="M236" s="301"/>
      <c r="N236" s="282" t="e">
        <f t="shared" si="37"/>
        <v>#REF!</v>
      </c>
      <c r="O236" s="139" t="s">
        <v>294</v>
      </c>
    </row>
    <row r="237" spans="1:15" s="136" customFormat="1" thickBot="1" x14ac:dyDescent="0.3">
      <c r="A237" s="200" t="s">
        <v>204</v>
      </c>
      <c r="B237" s="200" t="e">
        <f>IF(#REF!=A237,1,0)</f>
        <v>#REF!</v>
      </c>
      <c r="C237" s="200"/>
      <c r="D237" s="201"/>
      <c r="E237" s="217">
        <v>0.88</v>
      </c>
      <c r="F237" s="217" t="e">
        <f t="shared" ref="F237" si="38">IF(B237=1,E237,0)</f>
        <v>#REF!</v>
      </c>
      <c r="G237" s="217">
        <v>0.97799999999999998</v>
      </c>
      <c r="H237" s="217" t="e">
        <f t="shared" ref="H237" si="39">IF(B237=1,G237,0)</f>
        <v>#REF!</v>
      </c>
      <c r="I237" s="216">
        <v>670</v>
      </c>
      <c r="J237" s="216" t="e">
        <f t="shared" ref="J237" si="40">IF(B237=1,I237,0)</f>
        <v>#REF!</v>
      </c>
      <c r="K237" s="216"/>
      <c r="L237" s="271">
        <v>0.52</v>
      </c>
      <c r="M237" s="295"/>
      <c r="N237" s="286" t="e">
        <f t="shared" si="37"/>
        <v>#REF!</v>
      </c>
      <c r="O237" s="139" t="s">
        <v>294</v>
      </c>
    </row>
    <row r="238" spans="1:15" s="136" customFormat="1" ht="14.25" x14ac:dyDescent="0.25">
      <c r="A238" s="194" t="s">
        <v>21</v>
      </c>
      <c r="B238" s="194" t="e">
        <f>IF(#REF!=A238,1,0)</f>
        <v>#REF!</v>
      </c>
      <c r="C238" s="194"/>
      <c r="D238" s="195">
        <v>17</v>
      </c>
      <c r="E238" s="196">
        <v>0.92799999999999994</v>
      </c>
      <c r="F238" s="196" t="e">
        <f t="shared" si="34"/>
        <v>#REF!</v>
      </c>
      <c r="G238" s="196">
        <v>0.91599999999999993</v>
      </c>
      <c r="H238" s="196" t="e">
        <f t="shared" si="35"/>
        <v>#REF!</v>
      </c>
      <c r="I238" s="195">
        <v>558</v>
      </c>
      <c r="J238" s="195" t="e">
        <f t="shared" si="36"/>
        <v>#REF!</v>
      </c>
      <c r="K238" s="195"/>
      <c r="L238" s="263">
        <v>0.52</v>
      </c>
      <c r="M238" s="293">
        <v>292</v>
      </c>
      <c r="N238" s="280" t="e">
        <f t="shared" si="37"/>
        <v>#REF!</v>
      </c>
      <c r="O238" s="139"/>
    </row>
    <row r="239" spans="1:15" s="136" customFormat="1" ht="14.25" x14ac:dyDescent="0.25">
      <c r="A239" s="194" t="s">
        <v>284</v>
      </c>
      <c r="B239" s="194" t="e">
        <f>IF(#REF!=A239,1,0)</f>
        <v>#REF!</v>
      </c>
      <c r="C239" s="194"/>
      <c r="D239" s="195">
        <v>7</v>
      </c>
      <c r="E239" s="196">
        <v>0.312</v>
      </c>
      <c r="F239" s="196" t="e">
        <f t="shared" si="34"/>
        <v>#REF!</v>
      </c>
      <c r="G239" s="196">
        <v>0.92200000000000004</v>
      </c>
      <c r="H239" s="196" t="e">
        <f t="shared" si="35"/>
        <v>#REF!</v>
      </c>
      <c r="I239" s="195">
        <v>543</v>
      </c>
      <c r="J239" s="195" t="e">
        <f t="shared" si="36"/>
        <v>#REF!</v>
      </c>
      <c r="K239" s="195"/>
      <c r="L239" s="263">
        <v>0.62</v>
      </c>
      <c r="M239" s="293">
        <v>335</v>
      </c>
      <c r="N239" s="280" t="e">
        <f t="shared" si="37"/>
        <v>#REF!</v>
      </c>
      <c r="O239" s="139"/>
    </row>
    <row r="240" spans="1:15" s="136" customFormat="1" ht="14.25" x14ac:dyDescent="0.25">
      <c r="A240" s="194" t="s">
        <v>285</v>
      </c>
      <c r="B240" s="194" t="e">
        <f>IF(#REF!=A240,1,0)</f>
        <v>#REF!</v>
      </c>
      <c r="C240" s="194"/>
      <c r="D240" s="195">
        <v>76</v>
      </c>
      <c r="E240" s="196">
        <v>0.20899999999999999</v>
      </c>
      <c r="F240" s="196" t="e">
        <f t="shared" si="34"/>
        <v>#REF!</v>
      </c>
      <c r="G240" s="196">
        <v>0.88700000000000001</v>
      </c>
      <c r="H240" s="196" t="e">
        <f t="shared" si="35"/>
        <v>#REF!</v>
      </c>
      <c r="I240" s="195">
        <v>517</v>
      </c>
      <c r="J240" s="195" t="e">
        <f t="shared" si="36"/>
        <v>#REF!</v>
      </c>
      <c r="K240" s="195"/>
      <c r="L240" s="263">
        <v>0.56999999999999995</v>
      </c>
      <c r="M240" s="293">
        <v>294</v>
      </c>
      <c r="N240" s="280" t="e">
        <f t="shared" si="37"/>
        <v>#REF!</v>
      </c>
      <c r="O240" s="139"/>
    </row>
    <row r="241" spans="1:15" s="136" customFormat="1" ht="14.25" x14ac:dyDescent="0.25">
      <c r="A241" s="194" t="s">
        <v>286</v>
      </c>
      <c r="B241" s="194" t="e">
        <f>IF(#REF!=A241,1,0)</f>
        <v>#REF!</v>
      </c>
      <c r="C241" s="194"/>
      <c r="D241" s="195">
        <v>46</v>
      </c>
      <c r="E241" s="196">
        <v>0.16300000000000001</v>
      </c>
      <c r="F241" s="196" t="e">
        <f t="shared" si="34"/>
        <v>#REF!</v>
      </c>
      <c r="G241" s="196">
        <v>0.91799999999999993</v>
      </c>
      <c r="H241" s="196" t="e">
        <f t="shared" si="35"/>
        <v>#REF!</v>
      </c>
      <c r="I241" s="195">
        <v>572</v>
      </c>
      <c r="J241" s="195" t="e">
        <f t="shared" si="36"/>
        <v>#REF!</v>
      </c>
      <c r="K241" s="195"/>
      <c r="L241" s="263">
        <v>0.54</v>
      </c>
      <c r="M241" s="293">
        <v>306</v>
      </c>
      <c r="N241" s="280" t="e">
        <f t="shared" si="37"/>
        <v>#REF!</v>
      </c>
      <c r="O241" s="139"/>
    </row>
    <row r="242" spans="1:15" s="136" customFormat="1" ht="14.25" x14ac:dyDescent="0.25">
      <c r="A242" s="194" t="s">
        <v>287</v>
      </c>
      <c r="B242" s="194" t="e">
        <f>IF(#REF!=A242,1,0)</f>
        <v>#REF!</v>
      </c>
      <c r="C242" s="194"/>
      <c r="D242" s="195">
        <v>5</v>
      </c>
      <c r="E242" s="196">
        <v>9.3000000000000013E-2</v>
      </c>
      <c r="F242" s="196" t="e">
        <f t="shared" si="34"/>
        <v>#REF!</v>
      </c>
      <c r="G242" s="196">
        <v>0.80099999999999993</v>
      </c>
      <c r="H242" s="196" t="e">
        <f t="shared" si="35"/>
        <v>#REF!</v>
      </c>
      <c r="I242" s="195">
        <v>509</v>
      </c>
      <c r="J242" s="195" t="e">
        <f t="shared" si="36"/>
        <v>#REF!</v>
      </c>
      <c r="K242" s="195"/>
      <c r="L242" s="263">
        <v>0.6</v>
      </c>
      <c r="M242" s="293">
        <v>305</v>
      </c>
      <c r="N242" s="280" t="e">
        <f t="shared" si="37"/>
        <v>#REF!</v>
      </c>
      <c r="O242" s="139"/>
    </row>
    <row r="243" spans="1:15" s="136" customFormat="1" ht="14.25" x14ac:dyDescent="0.25">
      <c r="A243" s="194" t="s">
        <v>288</v>
      </c>
      <c r="B243" s="194" t="e">
        <f>IF(#REF!=A243,1,0)</f>
        <v>#REF!</v>
      </c>
      <c r="C243" s="194"/>
      <c r="D243" s="195">
        <v>8</v>
      </c>
      <c r="E243" s="196">
        <v>0.09</v>
      </c>
      <c r="F243" s="196" t="e">
        <f t="shared" si="34"/>
        <v>#REF!</v>
      </c>
      <c r="G243" s="196">
        <v>0.86299999999999999</v>
      </c>
      <c r="H243" s="196" t="e">
        <f t="shared" si="35"/>
        <v>#REF!</v>
      </c>
      <c r="I243" s="195">
        <v>606</v>
      </c>
      <c r="J243" s="195" t="e">
        <f t="shared" si="36"/>
        <v>#REF!</v>
      </c>
      <c r="K243" s="195"/>
      <c r="L243" s="263">
        <v>0.65</v>
      </c>
      <c r="M243" s="293">
        <v>390</v>
      </c>
      <c r="N243" s="280" t="e">
        <f t="shared" si="37"/>
        <v>#REF!</v>
      </c>
      <c r="O243" s="139"/>
    </row>
    <row r="244" spans="1:15" s="136" customFormat="1" ht="14.25" x14ac:dyDescent="0.25">
      <c r="A244" s="194" t="s">
        <v>289</v>
      </c>
      <c r="B244" s="194" t="e">
        <f>IF(#REF!=A244,1,0)</f>
        <v>#REF!</v>
      </c>
      <c r="C244" s="194"/>
      <c r="D244" s="195">
        <v>2</v>
      </c>
      <c r="E244" s="196">
        <v>0.13400000000000001</v>
      </c>
      <c r="F244" s="196" t="e">
        <f t="shared" si="34"/>
        <v>#REF!</v>
      </c>
      <c r="G244" s="196">
        <v>0.875</v>
      </c>
      <c r="H244" s="196" t="e">
        <f t="shared" si="35"/>
        <v>#REF!</v>
      </c>
      <c r="I244" s="195">
        <v>531</v>
      </c>
      <c r="J244" s="195" t="e">
        <f t="shared" si="36"/>
        <v>#REF!</v>
      </c>
      <c r="K244" s="195"/>
      <c r="L244" s="263">
        <v>0.6</v>
      </c>
      <c r="M244" s="293">
        <v>318</v>
      </c>
      <c r="N244" s="280" t="e">
        <f t="shared" si="37"/>
        <v>#REF!</v>
      </c>
      <c r="O244" s="139"/>
    </row>
    <row r="245" spans="1:15" s="136" customFormat="1" ht="14.25" x14ac:dyDescent="0.25">
      <c r="A245" s="139" t="s">
        <v>156</v>
      </c>
      <c r="B245" s="139"/>
      <c r="C245" s="139"/>
      <c r="D245" s="139"/>
      <c r="E245" s="139"/>
      <c r="F245" s="235" t="e">
        <f>SUM(F215:F244)</f>
        <v>#REF!</v>
      </c>
      <c r="G245" s="139"/>
      <c r="H245" s="235" t="e">
        <f>SUM(H215:H244)</f>
        <v>#REF!</v>
      </c>
      <c r="I245" s="139"/>
      <c r="J245" s="236" t="e">
        <f>SUM(J215:J244)</f>
        <v>#REF!</v>
      </c>
      <c r="K245" s="139"/>
      <c r="L245" s="139"/>
      <c r="M245" s="303"/>
      <c r="N245" s="235" t="e">
        <f>SUM(N215:N244)</f>
        <v>#REF!</v>
      </c>
      <c r="O245" s="139"/>
    </row>
    <row r="246" spans="1:15" s="136" customFormat="1" ht="14.25" x14ac:dyDescent="0.25">
      <c r="A246" s="139"/>
      <c r="B246" s="139"/>
      <c r="C246" s="139"/>
      <c r="D246" s="139"/>
      <c r="E246" s="139"/>
      <c r="F246" s="139"/>
      <c r="G246" s="139"/>
      <c r="H246" s="139"/>
      <c r="I246" s="139"/>
      <c r="J246" s="139"/>
      <c r="K246" s="139"/>
      <c r="L246" s="139"/>
      <c r="M246" s="303"/>
      <c r="N246" s="139"/>
      <c r="O246" s="139"/>
    </row>
    <row r="247" spans="1:15" s="136" customFormat="1" ht="41.25" x14ac:dyDescent="0.3">
      <c r="A247" s="193" t="s">
        <v>34</v>
      </c>
      <c r="B247" s="193"/>
      <c r="C247" s="193"/>
      <c r="D247" s="193" t="s">
        <v>186</v>
      </c>
      <c r="E247" s="193" t="s">
        <v>187</v>
      </c>
      <c r="F247" s="193"/>
      <c r="G247" s="193" t="s">
        <v>188</v>
      </c>
      <c r="H247" s="193"/>
      <c r="I247" s="193" t="s">
        <v>189</v>
      </c>
      <c r="J247" s="193"/>
      <c r="K247" s="193" t="s">
        <v>295</v>
      </c>
      <c r="L247" s="262" t="s">
        <v>191</v>
      </c>
      <c r="M247" s="292" t="s">
        <v>292</v>
      </c>
      <c r="N247" s="139"/>
      <c r="O247" s="139"/>
    </row>
    <row r="248" spans="1:15" s="136" customFormat="1" ht="14.25" x14ac:dyDescent="0.25">
      <c r="A248" s="194" t="s">
        <v>296</v>
      </c>
      <c r="B248" s="194" t="e">
        <f>IF(#REF!=A248,1,0)</f>
        <v>#REF!</v>
      </c>
      <c r="C248" s="194"/>
      <c r="D248" s="195"/>
      <c r="E248" s="196">
        <v>0</v>
      </c>
      <c r="F248" s="196" t="e">
        <f t="shared" ref="F248:F277" si="41">IF(B248=1,E248,0)</f>
        <v>#REF!</v>
      </c>
      <c r="G248" s="196">
        <v>0</v>
      </c>
      <c r="H248" s="196" t="e">
        <f t="shared" ref="H248:H277" si="42">IF(B248=1,G248,0)</f>
        <v>#REF!</v>
      </c>
      <c r="I248" s="195">
        <v>0</v>
      </c>
      <c r="J248" s="195" t="e">
        <f t="shared" ref="J248:J277" si="43">IF(B248=1,I248,0)</f>
        <v>#REF!</v>
      </c>
      <c r="K248" s="195">
        <v>0</v>
      </c>
      <c r="L248" s="263">
        <v>0</v>
      </c>
      <c r="M248" s="293">
        <v>0</v>
      </c>
      <c r="N248" s="280" t="e">
        <f t="shared" ref="N248:N277" si="44">IF(B248=1,L248,0)</f>
        <v>#REF!</v>
      </c>
      <c r="O248" s="139"/>
    </row>
    <row r="249" spans="1:15" s="136" customFormat="1" ht="14.25" x14ac:dyDescent="0.25">
      <c r="A249" s="194" t="s">
        <v>32</v>
      </c>
      <c r="B249" s="194" t="e">
        <f>IF(#REF!=A249,1,0)</f>
        <v>#REF!</v>
      </c>
      <c r="C249" s="194"/>
      <c r="D249" s="195">
        <v>5</v>
      </c>
      <c r="E249" s="196">
        <v>0.54799999999999993</v>
      </c>
      <c r="F249" s="196" t="e">
        <f t="shared" si="41"/>
        <v>#REF!</v>
      </c>
      <c r="G249" s="196">
        <v>0.78599999999999992</v>
      </c>
      <c r="H249" s="196" t="e">
        <f t="shared" si="42"/>
        <v>#REF!</v>
      </c>
      <c r="I249" s="195">
        <v>531</v>
      </c>
      <c r="J249" s="195" t="e">
        <f t="shared" si="43"/>
        <v>#REF!</v>
      </c>
      <c r="K249" s="195"/>
      <c r="L249" s="263">
        <v>0.61</v>
      </c>
      <c r="M249" s="293">
        <v>325</v>
      </c>
      <c r="N249" s="280" t="e">
        <f t="shared" si="44"/>
        <v>#REF!</v>
      </c>
      <c r="O249" s="139"/>
    </row>
    <row r="250" spans="1:15" s="136" customFormat="1" ht="14.25" x14ac:dyDescent="0.25">
      <c r="A250" s="194" t="s">
        <v>158</v>
      </c>
      <c r="B250" s="194" t="e">
        <f>IF(#REF!=A250,1,0)</f>
        <v>#REF!</v>
      </c>
      <c r="C250" s="194"/>
      <c r="D250" s="195">
        <v>11</v>
      </c>
      <c r="E250" s="202">
        <v>0.22900000000000001</v>
      </c>
      <c r="F250" s="202" t="e">
        <f t="shared" si="41"/>
        <v>#REF!</v>
      </c>
      <c r="G250" s="202">
        <v>0.82199999999999995</v>
      </c>
      <c r="H250" s="202" t="e">
        <f t="shared" si="42"/>
        <v>#REF!</v>
      </c>
      <c r="I250" s="201">
        <v>350</v>
      </c>
      <c r="J250" s="201" t="e">
        <f t="shared" si="43"/>
        <v>#REF!</v>
      </c>
      <c r="K250" s="201"/>
      <c r="L250" s="265">
        <v>0.57999999999999996</v>
      </c>
      <c r="M250" s="295"/>
      <c r="N250" s="282" t="e">
        <f t="shared" si="44"/>
        <v>#REF!</v>
      </c>
      <c r="O250" s="139" t="s">
        <v>294</v>
      </c>
    </row>
    <row r="251" spans="1:15" s="136" customFormat="1" ht="14.25" x14ac:dyDescent="0.25">
      <c r="A251" s="194" t="s">
        <v>25</v>
      </c>
      <c r="B251" s="194" t="e">
        <f>IF(#REF!=A251,1,0)</f>
        <v>#REF!</v>
      </c>
      <c r="C251" s="194"/>
      <c r="D251" s="195">
        <v>24</v>
      </c>
      <c r="E251" s="202">
        <v>8.8999999999999996E-2</v>
      </c>
      <c r="F251" s="202" t="e">
        <f t="shared" si="41"/>
        <v>#REF!</v>
      </c>
      <c r="G251" s="202">
        <v>0.78900000000000003</v>
      </c>
      <c r="H251" s="202" t="e">
        <f t="shared" si="42"/>
        <v>#REF!</v>
      </c>
      <c r="I251" s="201">
        <v>384</v>
      </c>
      <c r="J251" s="201" t="e">
        <f t="shared" si="43"/>
        <v>#REF!</v>
      </c>
      <c r="K251" s="201"/>
      <c r="L251" s="265">
        <v>0.59899999999999998</v>
      </c>
      <c r="M251" s="295"/>
      <c r="N251" s="282" t="e">
        <f t="shared" si="44"/>
        <v>#REF!</v>
      </c>
      <c r="O251" s="139" t="s">
        <v>294</v>
      </c>
    </row>
    <row r="252" spans="1:15" s="136" customFormat="1" ht="14.25" x14ac:dyDescent="0.25">
      <c r="A252" s="194" t="s">
        <v>196</v>
      </c>
      <c r="B252" s="194" t="e">
        <f>IF(#REF!=A252,1,0)</f>
        <v>#REF!</v>
      </c>
      <c r="C252" s="194"/>
      <c r="D252" s="195">
        <v>34</v>
      </c>
      <c r="E252" s="196">
        <v>0.05</v>
      </c>
      <c r="F252" s="196" t="e">
        <f t="shared" si="41"/>
        <v>#REF!</v>
      </c>
      <c r="G252" s="196">
        <v>0.72599999999999998</v>
      </c>
      <c r="H252" s="196" t="e">
        <f t="shared" si="42"/>
        <v>#REF!</v>
      </c>
      <c r="I252" s="195">
        <v>372</v>
      </c>
      <c r="J252" s="195" t="e">
        <f t="shared" si="43"/>
        <v>#REF!</v>
      </c>
      <c r="K252" s="195"/>
      <c r="L252" s="263" t="s">
        <v>197</v>
      </c>
      <c r="M252" s="293" t="s">
        <v>197</v>
      </c>
      <c r="N252" s="280" t="e">
        <f t="shared" si="44"/>
        <v>#REF!</v>
      </c>
      <c r="O252" s="139"/>
    </row>
    <row r="253" spans="1:15" s="136" customFormat="1" thickBot="1" x14ac:dyDescent="0.3">
      <c r="A253" s="210" t="s">
        <v>159</v>
      </c>
      <c r="B253" s="210" t="e">
        <f>IF(#REF!=A253,1,0)</f>
        <v>#REF!</v>
      </c>
      <c r="C253" s="210"/>
      <c r="D253" s="211">
        <v>6</v>
      </c>
      <c r="E253" s="212">
        <v>0.27200000000000002</v>
      </c>
      <c r="F253" s="212" t="e">
        <f t="shared" si="41"/>
        <v>#REF!</v>
      </c>
      <c r="G253" s="212">
        <v>0.84200000000000008</v>
      </c>
      <c r="H253" s="212" t="e">
        <f t="shared" si="42"/>
        <v>#REF!</v>
      </c>
      <c r="I253" s="211">
        <v>491</v>
      </c>
      <c r="J253" s="211" t="e">
        <f t="shared" si="43"/>
        <v>#REF!</v>
      </c>
      <c r="K253" s="211"/>
      <c r="L253" s="269">
        <v>0.52</v>
      </c>
      <c r="M253" s="293">
        <v>253</v>
      </c>
      <c r="N253" s="280" t="e">
        <f t="shared" si="44"/>
        <v>#REF!</v>
      </c>
      <c r="O253" s="139"/>
    </row>
    <row r="254" spans="1:15" s="136" customFormat="1" ht="14.25" x14ac:dyDescent="0.25">
      <c r="A254" s="225" t="s">
        <v>276</v>
      </c>
      <c r="B254" s="225" t="e">
        <f>IF(#REF!=A254,1,0)</f>
        <v>#REF!</v>
      </c>
      <c r="C254" s="225"/>
      <c r="D254" s="237">
        <v>51</v>
      </c>
      <c r="E254" s="220">
        <v>0.22399999999999998</v>
      </c>
      <c r="F254" s="220" t="e">
        <f t="shared" si="41"/>
        <v>#REF!</v>
      </c>
      <c r="G254" s="220">
        <v>0.90200000000000002</v>
      </c>
      <c r="H254" s="220" t="e">
        <f t="shared" si="42"/>
        <v>#REF!</v>
      </c>
      <c r="I254" s="213">
        <v>603</v>
      </c>
      <c r="J254" s="213" t="e">
        <f t="shared" si="43"/>
        <v>#REF!</v>
      </c>
      <c r="K254" s="213"/>
      <c r="L254" s="278">
        <v>0.5</v>
      </c>
      <c r="M254" s="293">
        <v>304</v>
      </c>
      <c r="N254" s="280" t="e">
        <f t="shared" si="44"/>
        <v>#REF!</v>
      </c>
      <c r="O254" s="139"/>
    </row>
    <row r="255" spans="1:15" s="136" customFormat="1" ht="14.25" x14ac:dyDescent="0.25">
      <c r="A255" s="194" t="s">
        <v>162</v>
      </c>
      <c r="B255" s="194" t="e">
        <f>IF(#REF!=A255,1,0)</f>
        <v>#REF!</v>
      </c>
      <c r="C255" s="194"/>
      <c r="D255" s="206">
        <v>45</v>
      </c>
      <c r="E255" s="202">
        <v>0.28199999999999997</v>
      </c>
      <c r="F255" s="202" t="e">
        <f t="shared" si="41"/>
        <v>#REF!</v>
      </c>
      <c r="G255" s="202">
        <v>0.89700000000000002</v>
      </c>
      <c r="H255" s="202" t="e">
        <f t="shared" si="42"/>
        <v>#REF!</v>
      </c>
      <c r="I255" s="231">
        <v>567</v>
      </c>
      <c r="J255" s="201" t="e">
        <f t="shared" si="43"/>
        <v>#REF!</v>
      </c>
      <c r="K255" s="201"/>
      <c r="L255" s="265">
        <v>0.55700000000000005</v>
      </c>
      <c r="M255" s="300"/>
      <c r="N255" s="282" t="e">
        <f t="shared" si="44"/>
        <v>#REF!</v>
      </c>
      <c r="O255" s="139" t="s">
        <v>294</v>
      </c>
    </row>
    <row r="256" spans="1:15" s="136" customFormat="1" ht="14.25" x14ac:dyDescent="0.25">
      <c r="A256" s="194" t="s">
        <v>277</v>
      </c>
      <c r="B256" s="194" t="e">
        <f>IF(#REF!=A256,1,0)</f>
        <v>#REF!</v>
      </c>
      <c r="C256" s="194"/>
      <c r="D256" s="206">
        <v>28</v>
      </c>
      <c r="E256" s="196">
        <v>0.52700000000000002</v>
      </c>
      <c r="F256" s="196" t="e">
        <f t="shared" si="41"/>
        <v>#REF!</v>
      </c>
      <c r="G256" s="196">
        <v>0.90500000000000003</v>
      </c>
      <c r="H256" s="196" t="e">
        <f t="shared" si="42"/>
        <v>#REF!</v>
      </c>
      <c r="I256" s="195">
        <v>571</v>
      </c>
      <c r="J256" s="195" t="e">
        <f t="shared" si="43"/>
        <v>#REF!</v>
      </c>
      <c r="K256" s="195"/>
      <c r="L256" s="263">
        <v>0.53</v>
      </c>
      <c r="M256" s="293">
        <v>306</v>
      </c>
      <c r="N256" s="280" t="e">
        <f t="shared" si="44"/>
        <v>#REF!</v>
      </c>
      <c r="O256" s="139"/>
    </row>
    <row r="257" spans="1:15" s="136" customFormat="1" ht="14.25" x14ac:dyDescent="0.25">
      <c r="A257" s="194" t="s">
        <v>278</v>
      </c>
      <c r="B257" s="194" t="e">
        <f>IF(#REF!=A257,1,0)</f>
        <v>#REF!</v>
      </c>
      <c r="C257" s="194"/>
      <c r="D257" s="206">
        <v>16</v>
      </c>
      <c r="E257" s="196">
        <v>0.182</v>
      </c>
      <c r="F257" s="196" t="e">
        <f t="shared" si="41"/>
        <v>#REF!</v>
      </c>
      <c r="G257" s="196">
        <v>0.90300000000000002</v>
      </c>
      <c r="H257" s="196" t="e">
        <f t="shared" si="42"/>
        <v>#REF!</v>
      </c>
      <c r="I257" s="195">
        <v>606</v>
      </c>
      <c r="J257" s="195" t="e">
        <f t="shared" si="43"/>
        <v>#REF!</v>
      </c>
      <c r="K257" s="195"/>
      <c r="L257" s="263">
        <v>0.6</v>
      </c>
      <c r="M257" s="293">
        <v>361</v>
      </c>
      <c r="N257" s="280" t="e">
        <f t="shared" si="44"/>
        <v>#REF!</v>
      </c>
      <c r="O257" s="139"/>
    </row>
    <row r="258" spans="1:15" s="136" customFormat="1" ht="14.25" x14ac:dyDescent="0.25">
      <c r="A258" s="194" t="s">
        <v>279</v>
      </c>
      <c r="B258" s="194" t="e">
        <f>IF(#REF!=A258,1,0)</f>
        <v>#REF!</v>
      </c>
      <c r="C258" s="194"/>
      <c r="D258" s="206">
        <v>14</v>
      </c>
      <c r="E258" s="196">
        <v>0.16399999999999998</v>
      </c>
      <c r="F258" s="196" t="e">
        <f t="shared" si="41"/>
        <v>#REF!</v>
      </c>
      <c r="G258" s="196">
        <v>0.89500000000000002</v>
      </c>
      <c r="H258" s="196" t="e">
        <f t="shared" si="42"/>
        <v>#REF!</v>
      </c>
      <c r="I258" s="195">
        <v>546</v>
      </c>
      <c r="J258" s="195" t="e">
        <f t="shared" si="43"/>
        <v>#REF!</v>
      </c>
      <c r="K258" s="195"/>
      <c r="L258" s="263">
        <v>0.5</v>
      </c>
      <c r="M258" s="293">
        <v>274</v>
      </c>
      <c r="N258" s="280" t="e">
        <f t="shared" si="44"/>
        <v>#REF!</v>
      </c>
      <c r="O258" s="139"/>
    </row>
    <row r="259" spans="1:15" s="136" customFormat="1" ht="14.25" x14ac:dyDescent="0.25">
      <c r="A259" s="194" t="s">
        <v>280</v>
      </c>
      <c r="B259" s="194" t="e">
        <f>IF(#REF!=A259,1,0)</f>
        <v>#REF!</v>
      </c>
      <c r="C259" s="194"/>
      <c r="D259" s="195">
        <v>20</v>
      </c>
      <c r="E259" s="196">
        <v>0.20899999999999999</v>
      </c>
      <c r="F259" s="196" t="e">
        <f t="shared" si="41"/>
        <v>#REF!</v>
      </c>
      <c r="G259" s="196">
        <v>0.89</v>
      </c>
      <c r="H259" s="196" t="e">
        <f t="shared" si="42"/>
        <v>#REF!</v>
      </c>
      <c r="I259" s="195">
        <v>56</v>
      </c>
      <c r="J259" s="195" t="e">
        <f t="shared" si="43"/>
        <v>#REF!</v>
      </c>
      <c r="K259" s="195"/>
      <c r="L259" s="263">
        <v>0.56000000000000005</v>
      </c>
      <c r="M259" s="293">
        <v>283</v>
      </c>
      <c r="N259" s="280" t="e">
        <f t="shared" si="44"/>
        <v>#REF!</v>
      </c>
      <c r="O259" s="139"/>
    </row>
    <row r="260" spans="1:15" s="136" customFormat="1" ht="14.25" x14ac:dyDescent="0.25">
      <c r="A260" s="194" t="s">
        <v>199</v>
      </c>
      <c r="B260" s="194" t="e">
        <f>IF(#REF!=A260,1,0)</f>
        <v>#REF!</v>
      </c>
      <c r="C260" s="194"/>
      <c r="D260" s="195">
        <v>59</v>
      </c>
      <c r="E260" s="196">
        <v>0.24299999999999999</v>
      </c>
      <c r="F260" s="196" t="e">
        <f t="shared" si="41"/>
        <v>#REF!</v>
      </c>
      <c r="G260" s="196">
        <v>0.95200000000000007</v>
      </c>
      <c r="H260" s="196" t="e">
        <f t="shared" si="42"/>
        <v>#REF!</v>
      </c>
      <c r="I260" s="195">
        <v>642</v>
      </c>
      <c r="J260" s="195" t="e">
        <f t="shared" si="43"/>
        <v>#REF!</v>
      </c>
      <c r="K260" s="195"/>
      <c r="L260" s="263">
        <v>0.54</v>
      </c>
      <c r="M260" s="293">
        <v>347</v>
      </c>
      <c r="N260" s="280" t="e">
        <f t="shared" si="44"/>
        <v>#REF!</v>
      </c>
      <c r="O260" s="139"/>
    </row>
    <row r="261" spans="1:15" s="136" customFormat="1" ht="14.25" x14ac:dyDescent="0.25">
      <c r="A261" s="194" t="s">
        <v>161</v>
      </c>
      <c r="B261" s="194" t="e">
        <f>IF(#REF!=A261,1,0)</f>
        <v>#REF!</v>
      </c>
      <c r="C261" s="194"/>
      <c r="D261" s="195">
        <v>195</v>
      </c>
      <c r="E261" s="202">
        <v>0.35099999999999998</v>
      </c>
      <c r="F261" s="202" t="e">
        <f t="shared" si="41"/>
        <v>#REF!</v>
      </c>
      <c r="G261" s="202">
        <v>0.96499999999999997</v>
      </c>
      <c r="H261" s="202" t="e">
        <f t="shared" si="42"/>
        <v>#REF!</v>
      </c>
      <c r="I261" s="201">
        <v>658</v>
      </c>
      <c r="J261" s="201" t="e">
        <f t="shared" si="43"/>
        <v>#REF!</v>
      </c>
      <c r="K261" s="201"/>
      <c r="L261" s="265">
        <v>0.54300000000000004</v>
      </c>
      <c r="M261" s="295"/>
      <c r="N261" s="282" t="e">
        <f t="shared" si="44"/>
        <v>#REF!</v>
      </c>
      <c r="O261" s="139" t="s">
        <v>294</v>
      </c>
    </row>
    <row r="262" spans="1:15" s="136" customFormat="1" ht="14.25" x14ac:dyDescent="0.25">
      <c r="A262" s="194" t="s">
        <v>200</v>
      </c>
      <c r="B262" s="194" t="e">
        <f>IF(#REF!=A262,1,0)</f>
        <v>#REF!</v>
      </c>
      <c r="C262" s="194"/>
      <c r="D262" s="195">
        <v>59</v>
      </c>
      <c r="E262" s="196">
        <v>0.40299999999999997</v>
      </c>
      <c r="F262" s="196" t="e">
        <f t="shared" si="41"/>
        <v>#REF!</v>
      </c>
      <c r="G262" s="196">
        <v>0.96099999999999997</v>
      </c>
      <c r="H262" s="196" t="e">
        <f t="shared" si="42"/>
        <v>#REF!</v>
      </c>
      <c r="I262" s="195">
        <v>627</v>
      </c>
      <c r="J262" s="195" t="e">
        <f t="shared" si="43"/>
        <v>#REF!</v>
      </c>
      <c r="K262" s="195"/>
      <c r="L262" s="263">
        <v>0.53</v>
      </c>
      <c r="M262" s="293">
        <v>332</v>
      </c>
      <c r="N262" s="280" t="e">
        <f t="shared" si="44"/>
        <v>#REF!</v>
      </c>
      <c r="O262" s="139"/>
    </row>
    <row r="263" spans="1:15" s="136" customFormat="1" ht="14.25" x14ac:dyDescent="0.25">
      <c r="A263" s="194" t="s">
        <v>201</v>
      </c>
      <c r="B263" s="194" t="e">
        <f>IF(#REF!=A263,1,0)</f>
        <v>#REF!</v>
      </c>
      <c r="C263" s="194"/>
      <c r="D263" s="195">
        <v>6</v>
      </c>
      <c r="E263" s="196">
        <v>0.53400000000000003</v>
      </c>
      <c r="F263" s="196" t="e">
        <f t="shared" si="41"/>
        <v>#REF!</v>
      </c>
      <c r="G263" s="196">
        <v>0.97799999999999998</v>
      </c>
      <c r="H263" s="196" t="e">
        <f t="shared" si="42"/>
        <v>#REF!</v>
      </c>
      <c r="I263" s="195">
        <v>720</v>
      </c>
      <c r="J263" s="195" t="e">
        <f t="shared" si="43"/>
        <v>#REF!</v>
      </c>
      <c r="K263" s="195"/>
      <c r="L263" s="263">
        <v>0.54</v>
      </c>
      <c r="M263" s="293">
        <v>387</v>
      </c>
      <c r="N263" s="280" t="e">
        <f t="shared" si="44"/>
        <v>#REF!</v>
      </c>
      <c r="O263" s="139"/>
    </row>
    <row r="264" spans="1:15" s="136" customFormat="1" ht="14.25" x14ac:dyDescent="0.25">
      <c r="A264" s="194" t="s">
        <v>202</v>
      </c>
      <c r="B264" s="194" t="e">
        <f>IF(#REF!=A264,1,0)</f>
        <v>#REF!</v>
      </c>
      <c r="C264" s="194"/>
      <c r="D264" s="195">
        <v>3</v>
      </c>
      <c r="E264" s="196">
        <v>0.79900000000000004</v>
      </c>
      <c r="F264" s="196" t="e">
        <f t="shared" si="41"/>
        <v>#REF!</v>
      </c>
      <c r="G264" s="196">
        <v>0.94799999999999995</v>
      </c>
      <c r="H264" s="196" t="e">
        <f t="shared" si="42"/>
        <v>#REF!</v>
      </c>
      <c r="I264" s="195">
        <v>764</v>
      </c>
      <c r="J264" s="195" t="e">
        <f t="shared" si="43"/>
        <v>#REF!</v>
      </c>
      <c r="K264" s="195"/>
      <c r="L264" s="263">
        <v>0.51</v>
      </c>
      <c r="M264" s="293">
        <v>385</v>
      </c>
      <c r="N264" s="280" t="e">
        <f t="shared" si="44"/>
        <v>#REF!</v>
      </c>
      <c r="O264" s="139"/>
    </row>
    <row r="265" spans="1:15" s="136" customFormat="1" ht="14.25" x14ac:dyDescent="0.25">
      <c r="A265" s="194" t="s">
        <v>281</v>
      </c>
      <c r="B265" s="194" t="e">
        <f>IF(#REF!=A265,1,0)</f>
        <v>#REF!</v>
      </c>
      <c r="C265" s="194"/>
      <c r="D265" s="195">
        <v>20</v>
      </c>
      <c r="E265" s="196">
        <v>0.26600000000000001</v>
      </c>
      <c r="F265" s="196" t="e">
        <f t="shared" si="41"/>
        <v>#REF!</v>
      </c>
      <c r="G265" s="196">
        <v>0.93299999999999994</v>
      </c>
      <c r="H265" s="196" t="e">
        <f t="shared" si="42"/>
        <v>#REF!</v>
      </c>
      <c r="I265" s="195">
        <v>577</v>
      </c>
      <c r="J265" s="195" t="e">
        <f t="shared" si="43"/>
        <v>#REF!</v>
      </c>
      <c r="K265" s="195"/>
      <c r="L265" s="263">
        <v>0.54</v>
      </c>
      <c r="M265" s="293">
        <v>312</v>
      </c>
      <c r="N265" s="280" t="e">
        <f t="shared" si="44"/>
        <v>#REF!</v>
      </c>
      <c r="O265" s="139"/>
    </row>
    <row r="266" spans="1:15" s="136" customFormat="1" ht="14.25" x14ac:dyDescent="0.25">
      <c r="A266" s="194" t="s">
        <v>160</v>
      </c>
      <c r="B266" s="194" t="e">
        <f>IF(#REF!=A266,1,0)</f>
        <v>#REF!</v>
      </c>
      <c r="C266" s="194"/>
      <c r="D266" s="195">
        <v>50</v>
      </c>
      <c r="E266" s="196">
        <v>0.25700000000000001</v>
      </c>
      <c r="F266" s="196" t="e">
        <f t="shared" si="41"/>
        <v>#REF!</v>
      </c>
      <c r="G266" s="196">
        <v>0.92900000000000005</v>
      </c>
      <c r="H266" s="196" t="e">
        <f t="shared" si="42"/>
        <v>#REF!</v>
      </c>
      <c r="I266" s="195">
        <v>608</v>
      </c>
      <c r="J266" s="195" t="e">
        <f t="shared" si="43"/>
        <v>#REF!</v>
      </c>
      <c r="K266" s="195"/>
      <c r="L266" s="263">
        <v>0.56000000000000005</v>
      </c>
      <c r="M266" s="293">
        <v>336</v>
      </c>
      <c r="N266" s="280" t="e">
        <f t="shared" si="44"/>
        <v>#REF!</v>
      </c>
      <c r="O266" s="139"/>
    </row>
    <row r="267" spans="1:15" s="136" customFormat="1" ht="14.25" x14ac:dyDescent="0.25">
      <c r="A267" s="194" t="s">
        <v>282</v>
      </c>
      <c r="B267" s="194" t="e">
        <f>IF(#REF!=A267,1,0)</f>
        <v>#REF!</v>
      </c>
      <c r="C267" s="194"/>
      <c r="D267" s="195">
        <v>17</v>
      </c>
      <c r="E267" s="196">
        <v>0.27300000000000002</v>
      </c>
      <c r="F267" s="196" t="e">
        <f t="shared" si="41"/>
        <v>#REF!</v>
      </c>
      <c r="G267" s="196">
        <v>0.93900000000000006</v>
      </c>
      <c r="H267" s="196" t="e">
        <f t="shared" si="42"/>
        <v>#REF!</v>
      </c>
      <c r="I267" s="195">
        <v>541</v>
      </c>
      <c r="J267" s="195" t="e">
        <f t="shared" si="43"/>
        <v>#REF!</v>
      </c>
      <c r="K267" s="195"/>
      <c r="L267" s="263">
        <v>0.56000000000000005</v>
      </c>
      <c r="M267" s="293">
        <v>298</v>
      </c>
      <c r="N267" s="280" t="e">
        <f t="shared" si="44"/>
        <v>#REF!</v>
      </c>
      <c r="O267" s="139"/>
    </row>
    <row r="268" spans="1:15" s="136" customFormat="1" ht="14.25" x14ac:dyDescent="0.25">
      <c r="A268" s="194" t="s">
        <v>283</v>
      </c>
      <c r="B268" s="194" t="e">
        <f>IF(#REF!=A268,1,0)</f>
        <v>#REF!</v>
      </c>
      <c r="C268" s="194"/>
      <c r="D268" s="195">
        <v>4</v>
      </c>
      <c r="E268" s="196">
        <v>0.29199999999999998</v>
      </c>
      <c r="F268" s="196" t="e">
        <f t="shared" si="41"/>
        <v>#REF!</v>
      </c>
      <c r="G268" s="196">
        <v>0.93500000000000005</v>
      </c>
      <c r="H268" s="196" t="e">
        <f t="shared" si="42"/>
        <v>#REF!</v>
      </c>
      <c r="I268" s="195">
        <v>609</v>
      </c>
      <c r="J268" s="195" t="e">
        <f t="shared" si="43"/>
        <v>#REF!</v>
      </c>
      <c r="K268" s="195"/>
      <c r="L268" s="263">
        <v>0.56999999999999995</v>
      </c>
      <c r="M268" s="293">
        <v>348</v>
      </c>
      <c r="N268" s="280" t="e">
        <f t="shared" si="44"/>
        <v>#REF!</v>
      </c>
      <c r="O268" s="139"/>
    </row>
    <row r="269" spans="1:15" s="136" customFormat="1" ht="14.25" x14ac:dyDescent="0.25">
      <c r="A269" s="194" t="s">
        <v>163</v>
      </c>
      <c r="B269" s="194" t="e">
        <f>IF(#REF!=A269,1,0)</f>
        <v>#REF!</v>
      </c>
      <c r="C269" s="194"/>
      <c r="D269" s="195">
        <v>222</v>
      </c>
      <c r="E269" s="202">
        <v>0.32800000000000001</v>
      </c>
      <c r="F269" s="202" t="e">
        <f>IF(B269=1,E269,0)</f>
        <v>#REF!</v>
      </c>
      <c r="G269" s="202">
        <v>0.93700000000000006</v>
      </c>
      <c r="H269" s="202" t="e">
        <f>IF(B269=1,G269,0)</f>
        <v>#REF!</v>
      </c>
      <c r="I269" s="201">
        <v>624</v>
      </c>
      <c r="J269" s="201" t="e">
        <f>IF(B269=1,I269,0)</f>
        <v>#REF!</v>
      </c>
      <c r="K269" s="201"/>
      <c r="L269" s="265">
        <v>0.56000000000000005</v>
      </c>
      <c r="M269" s="301"/>
      <c r="N269" s="282" t="e">
        <f t="shared" si="44"/>
        <v>#REF!</v>
      </c>
      <c r="O269" s="139" t="s">
        <v>294</v>
      </c>
    </row>
    <row r="270" spans="1:15" s="136" customFormat="1" thickBot="1" x14ac:dyDescent="0.3">
      <c r="A270" s="194" t="s">
        <v>204</v>
      </c>
      <c r="B270" s="194" t="e">
        <f>IF(#REF!=A270,1,0)</f>
        <v>#REF!</v>
      </c>
      <c r="C270" s="194"/>
      <c r="D270" s="195">
        <v>10</v>
      </c>
      <c r="E270" s="217">
        <v>0.88</v>
      </c>
      <c r="F270" s="217" t="e">
        <f t="shared" ref="F270" si="45">IF(B270=1,E270,0)</f>
        <v>#REF!</v>
      </c>
      <c r="G270" s="217">
        <v>0.97799999999999998</v>
      </c>
      <c r="H270" s="217" t="e">
        <f t="shared" ref="H270" si="46">IF(B270=1,G270,0)</f>
        <v>#REF!</v>
      </c>
      <c r="I270" s="216">
        <v>670</v>
      </c>
      <c r="J270" s="216" t="e">
        <f t="shared" ref="J270" si="47">IF(B270=1,I270,0)</f>
        <v>#REF!</v>
      </c>
      <c r="K270" s="216"/>
      <c r="L270" s="271">
        <v>0.52</v>
      </c>
      <c r="M270" s="295"/>
      <c r="N270" s="286" t="e">
        <f t="shared" si="44"/>
        <v>#REF!</v>
      </c>
      <c r="O270" s="139" t="s">
        <v>294</v>
      </c>
    </row>
    <row r="271" spans="1:15" s="136" customFormat="1" ht="14.25" x14ac:dyDescent="0.25">
      <c r="A271" s="194" t="s">
        <v>21</v>
      </c>
      <c r="B271" s="194" t="e">
        <f>IF(#REF!=A271,1,0)</f>
        <v>#REF!</v>
      </c>
      <c r="C271" s="194"/>
      <c r="D271" s="195">
        <v>17</v>
      </c>
      <c r="E271" s="196">
        <v>0.92799999999999994</v>
      </c>
      <c r="F271" s="196" t="e">
        <f t="shared" si="41"/>
        <v>#REF!</v>
      </c>
      <c r="G271" s="196">
        <v>0.91599999999999993</v>
      </c>
      <c r="H271" s="196" t="e">
        <f t="shared" si="42"/>
        <v>#REF!</v>
      </c>
      <c r="I271" s="195">
        <v>558</v>
      </c>
      <c r="J271" s="195" t="e">
        <f t="shared" si="43"/>
        <v>#REF!</v>
      </c>
      <c r="K271" s="195">
        <v>474.32678399999992</v>
      </c>
      <c r="L271" s="263">
        <v>0.52</v>
      </c>
      <c r="M271" s="293">
        <v>292</v>
      </c>
      <c r="N271" s="280" t="e">
        <f t="shared" si="44"/>
        <v>#REF!</v>
      </c>
      <c r="O271" s="139"/>
    </row>
    <row r="272" spans="1:15" s="136" customFormat="1" ht="14.25" x14ac:dyDescent="0.25">
      <c r="A272" s="194" t="s">
        <v>284</v>
      </c>
      <c r="B272" s="194" t="e">
        <f>IF(#REF!=A272,1,0)</f>
        <v>#REF!</v>
      </c>
      <c r="C272" s="194"/>
      <c r="D272" s="195">
        <v>7</v>
      </c>
      <c r="E272" s="196">
        <v>0.312</v>
      </c>
      <c r="F272" s="196" t="e">
        <f t="shared" si="41"/>
        <v>#REF!</v>
      </c>
      <c r="G272" s="196">
        <v>0.92200000000000004</v>
      </c>
      <c r="H272" s="196" t="e">
        <f t="shared" si="42"/>
        <v>#REF!</v>
      </c>
      <c r="I272" s="195">
        <v>543</v>
      </c>
      <c r="J272" s="195" t="e">
        <f t="shared" si="43"/>
        <v>#REF!</v>
      </c>
      <c r="K272" s="195">
        <v>156.20155199999999</v>
      </c>
      <c r="L272" s="263">
        <v>0.62</v>
      </c>
      <c r="M272" s="293">
        <v>335</v>
      </c>
      <c r="N272" s="280" t="e">
        <f t="shared" si="44"/>
        <v>#REF!</v>
      </c>
      <c r="O272" s="139"/>
    </row>
    <row r="273" spans="1:15" s="136" customFormat="1" ht="14.25" x14ac:dyDescent="0.25">
      <c r="A273" s="194" t="s">
        <v>285</v>
      </c>
      <c r="B273" s="194" t="e">
        <f>IF(#REF!=A273,1,0)</f>
        <v>#REF!</v>
      </c>
      <c r="C273" s="194"/>
      <c r="D273" s="195">
        <v>76</v>
      </c>
      <c r="E273" s="196">
        <v>0.20899999999999999</v>
      </c>
      <c r="F273" s="196" t="e">
        <f t="shared" si="41"/>
        <v>#REF!</v>
      </c>
      <c r="G273" s="196">
        <v>0.88700000000000001</v>
      </c>
      <c r="H273" s="196" t="e">
        <f t="shared" si="42"/>
        <v>#REF!</v>
      </c>
      <c r="I273" s="195">
        <v>517</v>
      </c>
      <c r="J273" s="195" t="e">
        <f t="shared" si="43"/>
        <v>#REF!</v>
      </c>
      <c r="K273" s="195"/>
      <c r="L273" s="263">
        <v>0.56999999999999995</v>
      </c>
      <c r="M273" s="293">
        <v>294</v>
      </c>
      <c r="N273" s="280" t="e">
        <f t="shared" si="44"/>
        <v>#REF!</v>
      </c>
      <c r="O273" s="139"/>
    </row>
    <row r="274" spans="1:15" s="136" customFormat="1" ht="14.25" x14ac:dyDescent="0.25">
      <c r="A274" s="194" t="s">
        <v>286</v>
      </c>
      <c r="B274" s="194" t="e">
        <f>IF(#REF!=A274,1,0)</f>
        <v>#REF!</v>
      </c>
      <c r="C274" s="194"/>
      <c r="D274" s="195">
        <v>46</v>
      </c>
      <c r="E274" s="196">
        <v>0.16300000000000001</v>
      </c>
      <c r="F274" s="196" t="e">
        <f t="shared" si="41"/>
        <v>#REF!</v>
      </c>
      <c r="G274" s="196">
        <v>0.91799999999999993</v>
      </c>
      <c r="H274" s="196" t="e">
        <f t="shared" si="42"/>
        <v>#REF!</v>
      </c>
      <c r="I274" s="195">
        <v>572</v>
      </c>
      <c r="J274" s="195" t="e">
        <f t="shared" si="43"/>
        <v>#REF!</v>
      </c>
      <c r="K274" s="195">
        <v>85.590648000000002</v>
      </c>
      <c r="L274" s="263">
        <v>0.54</v>
      </c>
      <c r="M274" s="293">
        <v>306</v>
      </c>
      <c r="N274" s="280" t="e">
        <f t="shared" si="44"/>
        <v>#REF!</v>
      </c>
      <c r="O274" s="139"/>
    </row>
    <row r="275" spans="1:15" s="136" customFormat="1" ht="14.25" x14ac:dyDescent="0.25">
      <c r="A275" s="194" t="s">
        <v>287</v>
      </c>
      <c r="B275" s="194" t="e">
        <f>IF(#REF!=A275,1,0)</f>
        <v>#REF!</v>
      </c>
      <c r="C275" s="194"/>
      <c r="D275" s="195">
        <v>5</v>
      </c>
      <c r="E275" s="196">
        <v>9.3000000000000013E-2</v>
      </c>
      <c r="F275" s="196" t="e">
        <f t="shared" si="41"/>
        <v>#REF!</v>
      </c>
      <c r="G275" s="196">
        <v>0.80099999999999993</v>
      </c>
      <c r="H275" s="196" t="e">
        <f t="shared" si="42"/>
        <v>#REF!</v>
      </c>
      <c r="I275" s="195">
        <v>509</v>
      </c>
      <c r="J275" s="195" t="e">
        <f t="shared" si="43"/>
        <v>#REF!</v>
      </c>
      <c r="K275" s="195">
        <v>37.916936999999997</v>
      </c>
      <c r="L275" s="263">
        <v>0.6</v>
      </c>
      <c r="M275" s="293">
        <v>305</v>
      </c>
      <c r="N275" s="280" t="e">
        <f t="shared" si="44"/>
        <v>#REF!</v>
      </c>
      <c r="O275" s="139"/>
    </row>
    <row r="276" spans="1:15" s="136" customFormat="1" ht="14.25" x14ac:dyDescent="0.25">
      <c r="A276" s="194" t="s">
        <v>288</v>
      </c>
      <c r="B276" s="194" t="e">
        <f>IF(#REF!=A276,1,0)</f>
        <v>#REF!</v>
      </c>
      <c r="C276" s="194"/>
      <c r="D276" s="195">
        <v>8</v>
      </c>
      <c r="E276" s="196">
        <v>0.09</v>
      </c>
      <c r="F276" s="196" t="e">
        <f t="shared" si="41"/>
        <v>#REF!</v>
      </c>
      <c r="G276" s="196">
        <v>0.86299999999999999</v>
      </c>
      <c r="H276" s="196" t="e">
        <f t="shared" si="42"/>
        <v>#REF!</v>
      </c>
      <c r="I276" s="195">
        <v>606</v>
      </c>
      <c r="J276" s="195" t="e">
        <f t="shared" si="43"/>
        <v>#REF!</v>
      </c>
      <c r="K276" s="195">
        <v>47.068019999999997</v>
      </c>
      <c r="L276" s="263">
        <v>0.65</v>
      </c>
      <c r="M276" s="293">
        <v>390</v>
      </c>
      <c r="N276" s="280" t="e">
        <f t="shared" si="44"/>
        <v>#REF!</v>
      </c>
      <c r="O276" s="139"/>
    </row>
    <row r="277" spans="1:15" s="136" customFormat="1" ht="14.25" x14ac:dyDescent="0.25">
      <c r="A277" s="194" t="s">
        <v>289</v>
      </c>
      <c r="B277" s="194" t="e">
        <f>IF(#REF!=A277,1,0)</f>
        <v>#REF!</v>
      </c>
      <c r="C277" s="194"/>
      <c r="D277" s="195">
        <v>2</v>
      </c>
      <c r="E277" s="196">
        <v>0.13400000000000001</v>
      </c>
      <c r="F277" s="196" t="e">
        <f t="shared" si="41"/>
        <v>#REF!</v>
      </c>
      <c r="G277" s="196">
        <v>0.875</v>
      </c>
      <c r="H277" s="196" t="e">
        <f t="shared" si="42"/>
        <v>#REF!</v>
      </c>
      <c r="I277" s="195">
        <v>531</v>
      </c>
      <c r="J277" s="195" t="e">
        <f t="shared" si="43"/>
        <v>#REF!</v>
      </c>
      <c r="K277" s="195">
        <v>62.259750000000004</v>
      </c>
      <c r="L277" s="263">
        <v>0.6</v>
      </c>
      <c r="M277" s="293">
        <v>318</v>
      </c>
      <c r="N277" s="280" t="e">
        <f t="shared" si="44"/>
        <v>#REF!</v>
      </c>
      <c r="O277" s="139"/>
    </row>
    <row r="278" spans="1:15" s="136" customFormat="1" ht="14.25" x14ac:dyDescent="0.25">
      <c r="A278" s="139" t="s">
        <v>156</v>
      </c>
      <c r="B278" s="139"/>
      <c r="C278" s="139"/>
      <c r="D278" s="139"/>
      <c r="E278" s="139"/>
      <c r="F278" s="235" t="e">
        <f>SUM(F248:F277)</f>
        <v>#REF!</v>
      </c>
      <c r="G278" s="139"/>
      <c r="H278" s="235" t="e">
        <f>SUM(H248:H277)</f>
        <v>#REF!</v>
      </c>
      <c r="I278" s="139"/>
      <c r="J278" s="236" t="e">
        <f>SUM(J248:J277)</f>
        <v>#REF!</v>
      </c>
      <c r="K278" s="139"/>
      <c r="L278" s="139"/>
      <c r="M278" s="303"/>
      <c r="N278" s="235" t="e">
        <f>SUM(N248:N277)</f>
        <v>#REF!</v>
      </c>
      <c r="O278" s="139"/>
    </row>
    <row r="279" spans="1:15" s="136" customFormat="1" ht="14.25" x14ac:dyDescent="0.25">
      <c r="A279" s="139"/>
      <c r="B279" s="139"/>
      <c r="C279" s="139"/>
      <c r="D279" s="139"/>
      <c r="E279" s="139"/>
      <c r="F279" s="139"/>
      <c r="G279" s="139"/>
      <c r="H279" s="139"/>
      <c r="I279" s="139"/>
      <c r="J279" s="139"/>
      <c r="K279" s="139"/>
      <c r="L279" s="139"/>
      <c r="M279" s="303"/>
      <c r="N279" s="139"/>
      <c r="O279" s="139"/>
    </row>
    <row r="280" spans="1:15" s="136" customFormat="1" ht="41.25" x14ac:dyDescent="0.3">
      <c r="A280" s="193" t="s">
        <v>34</v>
      </c>
      <c r="B280" s="193"/>
      <c r="C280" s="193"/>
      <c r="D280" s="193" t="s">
        <v>186</v>
      </c>
      <c r="E280" s="193" t="s">
        <v>187</v>
      </c>
      <c r="F280" s="193"/>
      <c r="G280" s="193" t="s">
        <v>188</v>
      </c>
      <c r="H280" s="193"/>
      <c r="I280" s="193" t="s">
        <v>189</v>
      </c>
      <c r="J280" s="193"/>
      <c r="K280" s="193" t="s">
        <v>295</v>
      </c>
      <c r="L280" s="262" t="s">
        <v>191</v>
      </c>
      <c r="M280" s="292" t="s">
        <v>292</v>
      </c>
      <c r="N280" s="139"/>
      <c r="O280" s="139"/>
    </row>
    <row r="281" spans="1:15" s="136" customFormat="1" ht="14.25" x14ac:dyDescent="0.25">
      <c r="A281" s="194" t="s">
        <v>297</v>
      </c>
      <c r="B281" s="194" t="e">
        <f>IF(#REF!=A281,1,0)</f>
        <v>#REF!</v>
      </c>
      <c r="C281" s="194"/>
      <c r="D281" s="195"/>
      <c r="E281" s="196">
        <v>0</v>
      </c>
      <c r="F281" s="196" t="e">
        <f t="shared" ref="F281:F310" si="48">IF(B281=1,E281,0)</f>
        <v>#REF!</v>
      </c>
      <c r="G281" s="196">
        <v>0</v>
      </c>
      <c r="H281" s="196" t="e">
        <f t="shared" ref="H281:H310" si="49">IF(B281=1,G281,0)</f>
        <v>#REF!</v>
      </c>
      <c r="I281" s="195">
        <v>0</v>
      </c>
      <c r="J281" s="195" t="e">
        <f t="shared" ref="J281:J310" si="50">IF(B281=1,I281,0)</f>
        <v>#REF!</v>
      </c>
      <c r="K281" s="195">
        <v>0</v>
      </c>
      <c r="L281" s="263">
        <v>0</v>
      </c>
      <c r="M281" s="293">
        <v>0</v>
      </c>
      <c r="N281" s="280" t="e">
        <f t="shared" ref="N281:N310" si="51">IF(B281=1,L281,0)</f>
        <v>#REF!</v>
      </c>
      <c r="O281" s="139"/>
    </row>
    <row r="282" spans="1:15" s="136" customFormat="1" ht="14.25" x14ac:dyDescent="0.25">
      <c r="A282" s="194" t="s">
        <v>32</v>
      </c>
      <c r="B282" s="194" t="e">
        <f>IF(#REF!=A282,1,0)</f>
        <v>#REF!</v>
      </c>
      <c r="C282" s="194"/>
      <c r="D282" s="195">
        <v>5</v>
      </c>
      <c r="E282" s="196">
        <v>0.54799999999999993</v>
      </c>
      <c r="F282" s="196" t="e">
        <f t="shared" si="48"/>
        <v>#REF!</v>
      </c>
      <c r="G282" s="196">
        <v>0.78599999999999992</v>
      </c>
      <c r="H282" s="196" t="e">
        <f t="shared" si="49"/>
        <v>#REF!</v>
      </c>
      <c r="I282" s="195">
        <v>531</v>
      </c>
      <c r="J282" s="195" t="e">
        <f t="shared" si="50"/>
        <v>#REF!</v>
      </c>
      <c r="K282" s="195"/>
      <c r="L282" s="263">
        <v>0.61</v>
      </c>
      <c r="M282" s="293">
        <v>325</v>
      </c>
      <c r="N282" s="280" t="e">
        <f t="shared" si="51"/>
        <v>#REF!</v>
      </c>
      <c r="O282" s="139"/>
    </row>
    <row r="283" spans="1:15" s="136" customFormat="1" ht="14.25" x14ac:dyDescent="0.25">
      <c r="A283" s="194" t="s">
        <v>158</v>
      </c>
      <c r="B283" s="194" t="e">
        <f>IF(#REF!=A283,1,0)</f>
        <v>#REF!</v>
      </c>
      <c r="C283" s="194"/>
      <c r="D283" s="195">
        <v>11</v>
      </c>
      <c r="E283" s="202">
        <v>0.22900000000000001</v>
      </c>
      <c r="F283" s="202" t="e">
        <f t="shared" si="48"/>
        <v>#REF!</v>
      </c>
      <c r="G283" s="202">
        <v>0.82199999999999995</v>
      </c>
      <c r="H283" s="202" t="e">
        <f t="shared" si="49"/>
        <v>#REF!</v>
      </c>
      <c r="I283" s="201">
        <v>350</v>
      </c>
      <c r="J283" s="201" t="e">
        <f t="shared" si="50"/>
        <v>#REF!</v>
      </c>
      <c r="K283" s="201"/>
      <c r="L283" s="265">
        <v>0.57999999999999996</v>
      </c>
      <c r="M283" s="295"/>
      <c r="N283" s="282" t="e">
        <f t="shared" si="51"/>
        <v>#REF!</v>
      </c>
      <c r="O283" s="139" t="s">
        <v>294</v>
      </c>
    </row>
    <row r="284" spans="1:15" s="136" customFormat="1" ht="14.25" x14ac:dyDescent="0.25">
      <c r="A284" s="194" t="s">
        <v>25</v>
      </c>
      <c r="B284" s="194" t="e">
        <f>IF(#REF!=A284,1,0)</f>
        <v>#REF!</v>
      </c>
      <c r="C284" s="194"/>
      <c r="D284" s="195">
        <v>24</v>
      </c>
      <c r="E284" s="202">
        <v>8.8999999999999996E-2</v>
      </c>
      <c r="F284" s="202" t="e">
        <f t="shared" si="48"/>
        <v>#REF!</v>
      </c>
      <c r="G284" s="202">
        <v>0.78900000000000003</v>
      </c>
      <c r="H284" s="202" t="e">
        <f t="shared" si="49"/>
        <v>#REF!</v>
      </c>
      <c r="I284" s="201">
        <v>384</v>
      </c>
      <c r="J284" s="201" t="e">
        <f t="shared" si="50"/>
        <v>#REF!</v>
      </c>
      <c r="K284" s="201"/>
      <c r="L284" s="265">
        <v>0.59899999999999998</v>
      </c>
      <c r="M284" s="295"/>
      <c r="N284" s="282" t="e">
        <f t="shared" si="51"/>
        <v>#REF!</v>
      </c>
      <c r="O284" s="139" t="s">
        <v>294</v>
      </c>
    </row>
    <row r="285" spans="1:15" s="136" customFormat="1" ht="14.25" x14ac:dyDescent="0.25">
      <c r="A285" s="194" t="s">
        <v>196</v>
      </c>
      <c r="B285" s="194" t="e">
        <f>IF(#REF!=A285,1,0)</f>
        <v>#REF!</v>
      </c>
      <c r="C285" s="194"/>
      <c r="D285" s="195">
        <v>34</v>
      </c>
      <c r="E285" s="196">
        <v>0.05</v>
      </c>
      <c r="F285" s="196" t="e">
        <f t="shared" si="48"/>
        <v>#REF!</v>
      </c>
      <c r="G285" s="196">
        <v>0.72599999999999998</v>
      </c>
      <c r="H285" s="196" t="e">
        <f t="shared" si="49"/>
        <v>#REF!</v>
      </c>
      <c r="I285" s="195">
        <v>372</v>
      </c>
      <c r="J285" s="195" t="e">
        <f t="shared" si="50"/>
        <v>#REF!</v>
      </c>
      <c r="K285" s="195"/>
      <c r="L285" s="263" t="s">
        <v>197</v>
      </c>
      <c r="M285" s="293" t="s">
        <v>197</v>
      </c>
      <c r="N285" s="280" t="e">
        <f t="shared" si="51"/>
        <v>#REF!</v>
      </c>
      <c r="O285" s="139"/>
    </row>
    <row r="286" spans="1:15" s="136" customFormat="1" thickBot="1" x14ac:dyDescent="0.3">
      <c r="A286" s="210" t="s">
        <v>159</v>
      </c>
      <c r="B286" s="194" t="e">
        <f>IF(#REF!=A286,1,0)</f>
        <v>#REF!</v>
      </c>
      <c r="C286" s="421"/>
      <c r="D286" s="211">
        <v>6</v>
      </c>
      <c r="E286" s="212">
        <v>0.27200000000000002</v>
      </c>
      <c r="F286" s="212" t="e">
        <f t="shared" si="48"/>
        <v>#REF!</v>
      </c>
      <c r="G286" s="212">
        <v>0.84200000000000008</v>
      </c>
      <c r="H286" s="212" t="e">
        <f t="shared" si="49"/>
        <v>#REF!</v>
      </c>
      <c r="I286" s="211">
        <v>491</v>
      </c>
      <c r="J286" s="211" t="e">
        <f t="shared" si="50"/>
        <v>#REF!</v>
      </c>
      <c r="K286" s="211"/>
      <c r="L286" s="269">
        <v>0.52</v>
      </c>
      <c r="M286" s="293">
        <v>253</v>
      </c>
      <c r="N286" s="280" t="e">
        <f t="shared" si="51"/>
        <v>#REF!</v>
      </c>
      <c r="O286" s="139"/>
    </row>
    <row r="287" spans="1:15" s="136" customFormat="1" ht="14.25" x14ac:dyDescent="0.25">
      <c r="A287" s="225" t="s">
        <v>276</v>
      </c>
      <c r="B287" s="194" t="e">
        <f>IF(#REF!=A287,1,0)</f>
        <v>#REF!</v>
      </c>
      <c r="C287" s="225"/>
      <c r="D287" s="237">
        <v>51</v>
      </c>
      <c r="E287" s="220">
        <v>0.22399999999999998</v>
      </c>
      <c r="F287" s="220" t="e">
        <f t="shared" si="48"/>
        <v>#REF!</v>
      </c>
      <c r="G287" s="220">
        <v>0.90200000000000002</v>
      </c>
      <c r="H287" s="220" t="e">
        <f t="shared" si="49"/>
        <v>#REF!</v>
      </c>
      <c r="I287" s="213">
        <v>603</v>
      </c>
      <c r="J287" s="213" t="e">
        <f t="shared" si="50"/>
        <v>#REF!</v>
      </c>
      <c r="K287" s="213"/>
      <c r="L287" s="278">
        <v>0.5</v>
      </c>
      <c r="M287" s="293">
        <v>304</v>
      </c>
      <c r="N287" s="280" t="e">
        <f t="shared" si="51"/>
        <v>#REF!</v>
      </c>
      <c r="O287" s="139"/>
    </row>
    <row r="288" spans="1:15" s="136" customFormat="1" ht="14.25" x14ac:dyDescent="0.25">
      <c r="A288" s="194" t="s">
        <v>162</v>
      </c>
      <c r="B288" s="194" t="e">
        <f>IF(#REF!=A288,1,0)</f>
        <v>#REF!</v>
      </c>
      <c r="C288" s="194"/>
      <c r="D288" s="206">
        <v>45</v>
      </c>
      <c r="E288" s="202">
        <v>0.28199999999999997</v>
      </c>
      <c r="F288" s="202" t="e">
        <f t="shared" si="48"/>
        <v>#REF!</v>
      </c>
      <c r="G288" s="202">
        <v>0.89700000000000002</v>
      </c>
      <c r="H288" s="202" t="e">
        <f t="shared" si="49"/>
        <v>#REF!</v>
      </c>
      <c r="I288" s="231">
        <v>567</v>
      </c>
      <c r="J288" s="201" t="e">
        <f t="shared" si="50"/>
        <v>#REF!</v>
      </c>
      <c r="K288" s="201"/>
      <c r="L288" s="265">
        <v>0.55700000000000005</v>
      </c>
      <c r="M288" s="300"/>
      <c r="N288" s="282" t="e">
        <f t="shared" si="51"/>
        <v>#REF!</v>
      </c>
      <c r="O288" s="139" t="s">
        <v>294</v>
      </c>
    </row>
    <row r="289" spans="1:15" s="136" customFormat="1" ht="14.25" x14ac:dyDescent="0.25">
      <c r="A289" s="194" t="s">
        <v>277</v>
      </c>
      <c r="B289" s="194" t="e">
        <f>IF(#REF!=A289,1,0)</f>
        <v>#REF!</v>
      </c>
      <c r="C289" s="194"/>
      <c r="D289" s="206">
        <v>28</v>
      </c>
      <c r="E289" s="196">
        <v>0.52700000000000002</v>
      </c>
      <c r="F289" s="196" t="e">
        <f t="shared" si="48"/>
        <v>#REF!</v>
      </c>
      <c r="G289" s="196">
        <v>0.90500000000000003</v>
      </c>
      <c r="H289" s="196" t="e">
        <f t="shared" si="49"/>
        <v>#REF!</v>
      </c>
      <c r="I289" s="195">
        <v>571</v>
      </c>
      <c r="J289" s="195" t="e">
        <f t="shared" si="50"/>
        <v>#REF!</v>
      </c>
      <c r="K289" s="195"/>
      <c r="L289" s="263">
        <v>0.53</v>
      </c>
      <c r="M289" s="293">
        <v>306</v>
      </c>
      <c r="N289" s="280" t="e">
        <f t="shared" si="51"/>
        <v>#REF!</v>
      </c>
      <c r="O289" s="139"/>
    </row>
    <row r="290" spans="1:15" s="136" customFormat="1" ht="14.25" x14ac:dyDescent="0.25">
      <c r="A290" s="194" t="s">
        <v>278</v>
      </c>
      <c r="B290" s="194" t="e">
        <f>IF(#REF!=A290,1,0)</f>
        <v>#REF!</v>
      </c>
      <c r="C290" s="194"/>
      <c r="D290" s="206">
        <v>16</v>
      </c>
      <c r="E290" s="196">
        <v>0.182</v>
      </c>
      <c r="F290" s="196" t="e">
        <f t="shared" si="48"/>
        <v>#REF!</v>
      </c>
      <c r="G290" s="196">
        <v>0.90300000000000002</v>
      </c>
      <c r="H290" s="196" t="e">
        <f t="shared" si="49"/>
        <v>#REF!</v>
      </c>
      <c r="I290" s="195">
        <v>606</v>
      </c>
      <c r="J290" s="195" t="e">
        <f t="shared" si="50"/>
        <v>#REF!</v>
      </c>
      <c r="K290" s="195"/>
      <c r="L290" s="263">
        <v>0.6</v>
      </c>
      <c r="M290" s="293">
        <v>361</v>
      </c>
      <c r="N290" s="280" t="e">
        <f t="shared" si="51"/>
        <v>#REF!</v>
      </c>
      <c r="O290" s="139"/>
    </row>
    <row r="291" spans="1:15" s="136" customFormat="1" ht="14.25" x14ac:dyDescent="0.25">
      <c r="A291" s="194" t="s">
        <v>279</v>
      </c>
      <c r="B291" s="194" t="e">
        <f>IF(#REF!=A291,1,0)</f>
        <v>#REF!</v>
      </c>
      <c r="C291" s="194"/>
      <c r="D291" s="206">
        <v>14</v>
      </c>
      <c r="E291" s="196">
        <v>0.16399999999999998</v>
      </c>
      <c r="F291" s="196" t="e">
        <f t="shared" si="48"/>
        <v>#REF!</v>
      </c>
      <c r="G291" s="196">
        <v>0.89500000000000002</v>
      </c>
      <c r="H291" s="196" t="e">
        <f t="shared" si="49"/>
        <v>#REF!</v>
      </c>
      <c r="I291" s="195">
        <v>546</v>
      </c>
      <c r="J291" s="195" t="e">
        <f t="shared" si="50"/>
        <v>#REF!</v>
      </c>
      <c r="K291" s="195"/>
      <c r="L291" s="263">
        <v>0.5</v>
      </c>
      <c r="M291" s="293">
        <v>274</v>
      </c>
      <c r="N291" s="280" t="e">
        <f t="shared" si="51"/>
        <v>#REF!</v>
      </c>
      <c r="O291" s="139"/>
    </row>
    <row r="292" spans="1:15" s="136" customFormat="1" ht="14.25" x14ac:dyDescent="0.25">
      <c r="A292" s="194" t="s">
        <v>280</v>
      </c>
      <c r="B292" s="194" t="e">
        <f>IF(#REF!=A292,1,0)</f>
        <v>#REF!</v>
      </c>
      <c r="C292" s="194"/>
      <c r="D292" s="195">
        <v>20</v>
      </c>
      <c r="E292" s="196">
        <v>0.20899999999999999</v>
      </c>
      <c r="F292" s="196" t="e">
        <f t="shared" si="48"/>
        <v>#REF!</v>
      </c>
      <c r="G292" s="196">
        <v>0.89</v>
      </c>
      <c r="H292" s="196" t="e">
        <f t="shared" si="49"/>
        <v>#REF!</v>
      </c>
      <c r="I292" s="195">
        <v>56</v>
      </c>
      <c r="J292" s="195" t="e">
        <f t="shared" si="50"/>
        <v>#REF!</v>
      </c>
      <c r="K292" s="195"/>
      <c r="L292" s="263">
        <v>0.56000000000000005</v>
      </c>
      <c r="M292" s="293">
        <v>283</v>
      </c>
      <c r="N292" s="280" t="e">
        <f t="shared" si="51"/>
        <v>#REF!</v>
      </c>
      <c r="O292" s="139"/>
    </row>
    <row r="293" spans="1:15" s="136" customFormat="1" ht="14.25" x14ac:dyDescent="0.25">
      <c r="A293" s="194" t="s">
        <v>199</v>
      </c>
      <c r="B293" s="194" t="e">
        <f>IF(#REF!=A293,1,0)</f>
        <v>#REF!</v>
      </c>
      <c r="C293" s="194"/>
      <c r="D293" s="195">
        <v>59</v>
      </c>
      <c r="E293" s="196">
        <v>0.24299999999999999</v>
      </c>
      <c r="F293" s="196" t="e">
        <f t="shared" si="48"/>
        <v>#REF!</v>
      </c>
      <c r="G293" s="196">
        <v>0.95200000000000007</v>
      </c>
      <c r="H293" s="196" t="e">
        <f t="shared" si="49"/>
        <v>#REF!</v>
      </c>
      <c r="I293" s="195">
        <v>642</v>
      </c>
      <c r="J293" s="195" t="e">
        <f t="shared" si="50"/>
        <v>#REF!</v>
      </c>
      <c r="K293" s="195"/>
      <c r="L293" s="263">
        <v>0.54</v>
      </c>
      <c r="M293" s="293">
        <v>347</v>
      </c>
      <c r="N293" s="280" t="e">
        <f t="shared" si="51"/>
        <v>#REF!</v>
      </c>
      <c r="O293" s="139"/>
    </row>
    <row r="294" spans="1:15" s="136" customFormat="1" ht="14.25" x14ac:dyDescent="0.25">
      <c r="A294" s="194" t="s">
        <v>161</v>
      </c>
      <c r="B294" s="194" t="e">
        <f>IF(#REF!=A294,1,0)</f>
        <v>#REF!</v>
      </c>
      <c r="C294" s="194"/>
      <c r="D294" s="195">
        <v>195</v>
      </c>
      <c r="E294" s="202">
        <v>0.35099999999999998</v>
      </c>
      <c r="F294" s="202" t="e">
        <f t="shared" si="48"/>
        <v>#REF!</v>
      </c>
      <c r="G294" s="202">
        <v>0.96499999999999997</v>
      </c>
      <c r="H294" s="202" t="e">
        <f t="shared" si="49"/>
        <v>#REF!</v>
      </c>
      <c r="I294" s="201">
        <v>658</v>
      </c>
      <c r="J294" s="201" t="e">
        <f t="shared" si="50"/>
        <v>#REF!</v>
      </c>
      <c r="K294" s="201"/>
      <c r="L294" s="265">
        <v>0.54300000000000004</v>
      </c>
      <c r="M294" s="295"/>
      <c r="N294" s="282" t="e">
        <f t="shared" si="51"/>
        <v>#REF!</v>
      </c>
      <c r="O294" s="139" t="s">
        <v>294</v>
      </c>
    </row>
    <row r="295" spans="1:15" s="136" customFormat="1" ht="14.25" x14ac:dyDescent="0.25">
      <c r="A295" s="194" t="s">
        <v>200</v>
      </c>
      <c r="B295" s="194" t="e">
        <f>IF(#REF!=A295,1,0)</f>
        <v>#REF!</v>
      </c>
      <c r="C295" s="194"/>
      <c r="D295" s="195">
        <v>59</v>
      </c>
      <c r="E295" s="196">
        <v>0.40299999999999997</v>
      </c>
      <c r="F295" s="196" t="e">
        <f t="shared" si="48"/>
        <v>#REF!</v>
      </c>
      <c r="G295" s="196">
        <v>0.96099999999999997</v>
      </c>
      <c r="H295" s="196" t="e">
        <f t="shared" si="49"/>
        <v>#REF!</v>
      </c>
      <c r="I295" s="195">
        <v>627</v>
      </c>
      <c r="J295" s="195" t="e">
        <f t="shared" si="50"/>
        <v>#REF!</v>
      </c>
      <c r="K295" s="195"/>
      <c r="L295" s="263">
        <v>0.53</v>
      </c>
      <c r="M295" s="293">
        <v>332</v>
      </c>
      <c r="N295" s="280" t="e">
        <f t="shared" si="51"/>
        <v>#REF!</v>
      </c>
      <c r="O295" s="139"/>
    </row>
    <row r="296" spans="1:15" s="136" customFormat="1" ht="14.25" x14ac:dyDescent="0.25">
      <c r="A296" s="194" t="s">
        <v>201</v>
      </c>
      <c r="B296" s="194" t="e">
        <f>IF(#REF!=A296,1,0)</f>
        <v>#REF!</v>
      </c>
      <c r="C296" s="194"/>
      <c r="D296" s="195">
        <v>6</v>
      </c>
      <c r="E296" s="196">
        <v>0.53400000000000003</v>
      </c>
      <c r="F296" s="196" t="e">
        <f t="shared" si="48"/>
        <v>#REF!</v>
      </c>
      <c r="G296" s="196">
        <v>0.97799999999999998</v>
      </c>
      <c r="H296" s="196" t="e">
        <f t="shared" si="49"/>
        <v>#REF!</v>
      </c>
      <c r="I296" s="195">
        <v>720</v>
      </c>
      <c r="J296" s="195" t="e">
        <f t="shared" si="50"/>
        <v>#REF!</v>
      </c>
      <c r="K296" s="195"/>
      <c r="L296" s="263">
        <v>0.54</v>
      </c>
      <c r="M296" s="293">
        <v>387</v>
      </c>
      <c r="N296" s="280" t="e">
        <f t="shared" si="51"/>
        <v>#REF!</v>
      </c>
      <c r="O296" s="139"/>
    </row>
    <row r="297" spans="1:15" s="136" customFormat="1" ht="14.25" x14ac:dyDescent="0.25">
      <c r="A297" s="194" t="s">
        <v>202</v>
      </c>
      <c r="B297" s="194" t="e">
        <f>IF(#REF!=A297,1,0)</f>
        <v>#REF!</v>
      </c>
      <c r="C297" s="194"/>
      <c r="D297" s="195">
        <v>3</v>
      </c>
      <c r="E297" s="196">
        <v>0.79900000000000004</v>
      </c>
      <c r="F297" s="196" t="e">
        <f t="shared" si="48"/>
        <v>#REF!</v>
      </c>
      <c r="G297" s="196">
        <v>0.94799999999999995</v>
      </c>
      <c r="H297" s="196" t="e">
        <f t="shared" si="49"/>
        <v>#REF!</v>
      </c>
      <c r="I297" s="195">
        <v>764</v>
      </c>
      <c r="J297" s="195" t="e">
        <f t="shared" si="50"/>
        <v>#REF!</v>
      </c>
      <c r="K297" s="195"/>
      <c r="L297" s="263">
        <v>0.51</v>
      </c>
      <c r="M297" s="293">
        <v>385</v>
      </c>
      <c r="N297" s="280" t="e">
        <f t="shared" si="51"/>
        <v>#REF!</v>
      </c>
      <c r="O297" s="139"/>
    </row>
    <row r="298" spans="1:15" s="136" customFormat="1" ht="14.25" x14ac:dyDescent="0.25">
      <c r="A298" s="194" t="s">
        <v>281</v>
      </c>
      <c r="B298" s="194" t="e">
        <f>IF(#REF!=A298,1,0)</f>
        <v>#REF!</v>
      </c>
      <c r="C298" s="194"/>
      <c r="D298" s="195">
        <v>20</v>
      </c>
      <c r="E298" s="196">
        <v>0.26600000000000001</v>
      </c>
      <c r="F298" s="196" t="e">
        <f t="shared" si="48"/>
        <v>#REF!</v>
      </c>
      <c r="G298" s="196">
        <v>0.93299999999999994</v>
      </c>
      <c r="H298" s="196" t="e">
        <f t="shared" si="49"/>
        <v>#REF!</v>
      </c>
      <c r="I298" s="195">
        <v>577</v>
      </c>
      <c r="J298" s="195" t="e">
        <f t="shared" si="50"/>
        <v>#REF!</v>
      </c>
      <c r="K298" s="195"/>
      <c r="L298" s="263">
        <v>0.54</v>
      </c>
      <c r="M298" s="293">
        <v>312</v>
      </c>
      <c r="N298" s="280" t="e">
        <f t="shared" si="51"/>
        <v>#REF!</v>
      </c>
      <c r="O298" s="139"/>
    </row>
    <row r="299" spans="1:15" s="136" customFormat="1" ht="14.25" x14ac:dyDescent="0.25">
      <c r="A299" s="194" t="s">
        <v>160</v>
      </c>
      <c r="B299" s="194" t="e">
        <f>IF(#REF!=A299,1,0)</f>
        <v>#REF!</v>
      </c>
      <c r="C299" s="194"/>
      <c r="D299" s="195">
        <v>50</v>
      </c>
      <c r="E299" s="196">
        <v>0.25700000000000001</v>
      </c>
      <c r="F299" s="196" t="e">
        <f t="shared" si="48"/>
        <v>#REF!</v>
      </c>
      <c r="G299" s="196">
        <v>0.92900000000000005</v>
      </c>
      <c r="H299" s="196" t="e">
        <f t="shared" si="49"/>
        <v>#REF!</v>
      </c>
      <c r="I299" s="195">
        <v>608</v>
      </c>
      <c r="J299" s="195" t="e">
        <f t="shared" si="50"/>
        <v>#REF!</v>
      </c>
      <c r="K299" s="195"/>
      <c r="L299" s="263">
        <v>0.56000000000000005</v>
      </c>
      <c r="M299" s="293">
        <v>336</v>
      </c>
      <c r="N299" s="280" t="e">
        <f t="shared" si="51"/>
        <v>#REF!</v>
      </c>
      <c r="O299" s="139"/>
    </row>
    <row r="300" spans="1:15" s="136" customFormat="1" ht="14.25" x14ac:dyDescent="0.25">
      <c r="A300" s="194" t="s">
        <v>282</v>
      </c>
      <c r="B300" s="194" t="e">
        <f>IF(#REF!=A300,1,0)</f>
        <v>#REF!</v>
      </c>
      <c r="C300" s="194"/>
      <c r="D300" s="195">
        <v>17</v>
      </c>
      <c r="E300" s="196">
        <v>0.27300000000000002</v>
      </c>
      <c r="F300" s="196" t="e">
        <f t="shared" si="48"/>
        <v>#REF!</v>
      </c>
      <c r="G300" s="196">
        <v>0.93900000000000006</v>
      </c>
      <c r="H300" s="196" t="e">
        <f t="shared" si="49"/>
        <v>#REF!</v>
      </c>
      <c r="I300" s="195">
        <v>541</v>
      </c>
      <c r="J300" s="195" t="e">
        <f t="shared" si="50"/>
        <v>#REF!</v>
      </c>
      <c r="K300" s="195"/>
      <c r="L300" s="263">
        <v>0.56000000000000005</v>
      </c>
      <c r="M300" s="293">
        <v>298</v>
      </c>
      <c r="N300" s="280" t="e">
        <f t="shared" si="51"/>
        <v>#REF!</v>
      </c>
      <c r="O300" s="139"/>
    </row>
    <row r="301" spans="1:15" s="136" customFormat="1" ht="14.25" x14ac:dyDescent="0.25">
      <c r="A301" s="194" t="s">
        <v>283</v>
      </c>
      <c r="B301" s="194" t="e">
        <f>IF(#REF!=A301,1,0)</f>
        <v>#REF!</v>
      </c>
      <c r="C301" s="194"/>
      <c r="D301" s="195">
        <v>4</v>
      </c>
      <c r="E301" s="196">
        <v>0.29199999999999998</v>
      </c>
      <c r="F301" s="196" t="e">
        <f t="shared" si="48"/>
        <v>#REF!</v>
      </c>
      <c r="G301" s="196">
        <v>0.93500000000000005</v>
      </c>
      <c r="H301" s="196" t="e">
        <f t="shared" si="49"/>
        <v>#REF!</v>
      </c>
      <c r="I301" s="195">
        <v>609</v>
      </c>
      <c r="J301" s="195" t="e">
        <f t="shared" si="50"/>
        <v>#REF!</v>
      </c>
      <c r="K301" s="195"/>
      <c r="L301" s="263">
        <v>0.56999999999999995</v>
      </c>
      <c r="M301" s="293">
        <v>348</v>
      </c>
      <c r="N301" s="280" t="e">
        <f t="shared" si="51"/>
        <v>#REF!</v>
      </c>
      <c r="O301" s="139"/>
    </row>
    <row r="302" spans="1:15" s="136" customFormat="1" ht="14.25" x14ac:dyDescent="0.25">
      <c r="A302" s="194" t="s">
        <v>163</v>
      </c>
      <c r="B302" s="194" t="e">
        <f>IF(#REF!=A302,1,0)</f>
        <v>#REF!</v>
      </c>
      <c r="C302" s="194"/>
      <c r="D302" s="195">
        <v>222</v>
      </c>
      <c r="E302" s="202">
        <v>0.32800000000000001</v>
      </c>
      <c r="F302" s="202" t="e">
        <f>IF(B302=1,E302,0)</f>
        <v>#REF!</v>
      </c>
      <c r="G302" s="202">
        <v>0.93700000000000006</v>
      </c>
      <c r="H302" s="202" t="e">
        <f>IF(B302=1,G302,0)</f>
        <v>#REF!</v>
      </c>
      <c r="I302" s="201">
        <v>624</v>
      </c>
      <c r="J302" s="201" t="e">
        <f>IF(B302=1,I302,0)</f>
        <v>#REF!</v>
      </c>
      <c r="K302" s="201"/>
      <c r="L302" s="265">
        <v>0.56000000000000005</v>
      </c>
      <c r="M302" s="301"/>
      <c r="N302" s="282" t="e">
        <f t="shared" si="51"/>
        <v>#REF!</v>
      </c>
      <c r="O302" s="139" t="s">
        <v>294</v>
      </c>
    </row>
    <row r="303" spans="1:15" s="136" customFormat="1" thickBot="1" x14ac:dyDescent="0.3">
      <c r="A303" s="194" t="s">
        <v>204</v>
      </c>
      <c r="B303" s="194" t="e">
        <f>IF(#REF!=A303,1,0)</f>
        <v>#REF!</v>
      </c>
      <c r="C303" s="194"/>
      <c r="D303" s="195">
        <v>10</v>
      </c>
      <c r="E303" s="217">
        <v>0.88</v>
      </c>
      <c r="F303" s="217" t="e">
        <f t="shared" ref="F303" si="52">IF(B303=1,E303,0)</f>
        <v>#REF!</v>
      </c>
      <c r="G303" s="217">
        <v>0.97799999999999998</v>
      </c>
      <c r="H303" s="217" t="e">
        <f t="shared" ref="H303" si="53">IF(B303=1,G303,0)</f>
        <v>#REF!</v>
      </c>
      <c r="I303" s="216">
        <v>670</v>
      </c>
      <c r="J303" s="216" t="e">
        <f t="shared" ref="J303" si="54">IF(B303=1,I303,0)</f>
        <v>#REF!</v>
      </c>
      <c r="K303" s="216"/>
      <c r="L303" s="271">
        <v>0.52</v>
      </c>
      <c r="M303" s="295"/>
      <c r="N303" s="286" t="e">
        <f t="shared" si="51"/>
        <v>#REF!</v>
      </c>
      <c r="O303" s="139" t="s">
        <v>294</v>
      </c>
    </row>
    <row r="304" spans="1:15" s="136" customFormat="1" ht="14.25" x14ac:dyDescent="0.25">
      <c r="A304" s="194" t="s">
        <v>21</v>
      </c>
      <c r="B304" s="194" t="e">
        <f>IF(#REF!=A304,1,0)</f>
        <v>#REF!</v>
      </c>
      <c r="C304" s="194"/>
      <c r="D304" s="195">
        <v>17</v>
      </c>
      <c r="E304" s="196">
        <v>0.92799999999999994</v>
      </c>
      <c r="F304" s="196" t="e">
        <f t="shared" si="48"/>
        <v>#REF!</v>
      </c>
      <c r="G304" s="196">
        <v>0.91599999999999993</v>
      </c>
      <c r="H304" s="196" t="e">
        <f t="shared" si="49"/>
        <v>#REF!</v>
      </c>
      <c r="I304" s="195">
        <v>558</v>
      </c>
      <c r="J304" s="195" t="e">
        <f t="shared" si="50"/>
        <v>#REF!</v>
      </c>
      <c r="K304" s="195">
        <v>474.32678399999992</v>
      </c>
      <c r="L304" s="263">
        <v>0.52</v>
      </c>
      <c r="M304" s="293">
        <v>292</v>
      </c>
      <c r="N304" s="280" t="e">
        <f t="shared" si="51"/>
        <v>#REF!</v>
      </c>
      <c r="O304" s="139"/>
    </row>
    <row r="305" spans="1:15" s="136" customFormat="1" ht="14.25" x14ac:dyDescent="0.25">
      <c r="A305" s="194" t="s">
        <v>284</v>
      </c>
      <c r="B305" s="194" t="e">
        <f>IF(#REF!=A305,1,0)</f>
        <v>#REF!</v>
      </c>
      <c r="C305" s="194"/>
      <c r="D305" s="195">
        <v>7</v>
      </c>
      <c r="E305" s="196">
        <v>0.312</v>
      </c>
      <c r="F305" s="196" t="e">
        <f t="shared" si="48"/>
        <v>#REF!</v>
      </c>
      <c r="G305" s="196">
        <v>0.92200000000000004</v>
      </c>
      <c r="H305" s="196" t="e">
        <f t="shared" si="49"/>
        <v>#REF!</v>
      </c>
      <c r="I305" s="195">
        <v>543</v>
      </c>
      <c r="J305" s="195" t="e">
        <f t="shared" si="50"/>
        <v>#REF!</v>
      </c>
      <c r="K305" s="195">
        <v>156.20155199999999</v>
      </c>
      <c r="L305" s="263">
        <v>0.62</v>
      </c>
      <c r="M305" s="293">
        <v>335</v>
      </c>
      <c r="N305" s="280" t="e">
        <f t="shared" si="51"/>
        <v>#REF!</v>
      </c>
      <c r="O305" s="139"/>
    </row>
    <row r="306" spans="1:15" s="136" customFormat="1" ht="14.25" x14ac:dyDescent="0.25">
      <c r="A306" s="194" t="s">
        <v>285</v>
      </c>
      <c r="B306" s="194" t="e">
        <f>IF(#REF!=A306,1,0)</f>
        <v>#REF!</v>
      </c>
      <c r="C306" s="194"/>
      <c r="D306" s="195">
        <v>76</v>
      </c>
      <c r="E306" s="196">
        <v>0.20899999999999999</v>
      </c>
      <c r="F306" s="196" t="e">
        <f t="shared" si="48"/>
        <v>#REF!</v>
      </c>
      <c r="G306" s="196">
        <v>0.88700000000000001</v>
      </c>
      <c r="H306" s="196" t="e">
        <f t="shared" si="49"/>
        <v>#REF!</v>
      </c>
      <c r="I306" s="195">
        <v>517</v>
      </c>
      <c r="J306" s="195" t="e">
        <f t="shared" si="50"/>
        <v>#REF!</v>
      </c>
      <c r="K306" s="195"/>
      <c r="L306" s="263">
        <v>0.56999999999999995</v>
      </c>
      <c r="M306" s="293">
        <v>294</v>
      </c>
      <c r="N306" s="280" t="e">
        <f t="shared" si="51"/>
        <v>#REF!</v>
      </c>
      <c r="O306" s="139"/>
    </row>
    <row r="307" spans="1:15" s="136" customFormat="1" ht="14.25" x14ac:dyDescent="0.25">
      <c r="A307" s="194" t="s">
        <v>286</v>
      </c>
      <c r="B307" s="194" t="e">
        <f>IF(#REF!=A307,1,0)</f>
        <v>#REF!</v>
      </c>
      <c r="C307" s="194"/>
      <c r="D307" s="195">
        <v>46</v>
      </c>
      <c r="E307" s="196">
        <v>0.16300000000000001</v>
      </c>
      <c r="F307" s="196" t="e">
        <f t="shared" si="48"/>
        <v>#REF!</v>
      </c>
      <c r="G307" s="196">
        <v>0.91799999999999993</v>
      </c>
      <c r="H307" s="196" t="e">
        <f t="shared" si="49"/>
        <v>#REF!</v>
      </c>
      <c r="I307" s="195">
        <v>572</v>
      </c>
      <c r="J307" s="195" t="e">
        <f t="shared" si="50"/>
        <v>#REF!</v>
      </c>
      <c r="K307" s="195">
        <v>85.590648000000002</v>
      </c>
      <c r="L307" s="263">
        <v>0.54</v>
      </c>
      <c r="M307" s="293">
        <v>306</v>
      </c>
      <c r="N307" s="280" t="e">
        <f t="shared" si="51"/>
        <v>#REF!</v>
      </c>
      <c r="O307" s="139"/>
    </row>
    <row r="308" spans="1:15" s="136" customFormat="1" ht="14.25" x14ac:dyDescent="0.25">
      <c r="A308" s="194" t="s">
        <v>287</v>
      </c>
      <c r="B308" s="194" t="e">
        <f>IF(#REF!=A308,1,0)</f>
        <v>#REF!</v>
      </c>
      <c r="C308" s="194"/>
      <c r="D308" s="195">
        <v>5</v>
      </c>
      <c r="E308" s="196">
        <v>9.3000000000000013E-2</v>
      </c>
      <c r="F308" s="196" t="e">
        <f t="shared" si="48"/>
        <v>#REF!</v>
      </c>
      <c r="G308" s="196">
        <v>0.80099999999999993</v>
      </c>
      <c r="H308" s="196" t="e">
        <f t="shared" si="49"/>
        <v>#REF!</v>
      </c>
      <c r="I308" s="195">
        <v>509</v>
      </c>
      <c r="J308" s="195" t="e">
        <f t="shared" si="50"/>
        <v>#REF!</v>
      </c>
      <c r="K308" s="195">
        <v>37.916936999999997</v>
      </c>
      <c r="L308" s="263">
        <v>0.6</v>
      </c>
      <c r="M308" s="293">
        <v>305</v>
      </c>
      <c r="N308" s="280" t="e">
        <f t="shared" si="51"/>
        <v>#REF!</v>
      </c>
      <c r="O308" s="139"/>
    </row>
    <row r="309" spans="1:15" s="136" customFormat="1" ht="14.25" x14ac:dyDescent="0.25">
      <c r="A309" s="194" t="s">
        <v>288</v>
      </c>
      <c r="B309" s="194" t="e">
        <f>IF(#REF!=A309,1,0)</f>
        <v>#REF!</v>
      </c>
      <c r="C309" s="194"/>
      <c r="D309" s="195">
        <v>8</v>
      </c>
      <c r="E309" s="196">
        <v>0.09</v>
      </c>
      <c r="F309" s="196" t="e">
        <f t="shared" si="48"/>
        <v>#REF!</v>
      </c>
      <c r="G309" s="196">
        <v>0.86299999999999999</v>
      </c>
      <c r="H309" s="196" t="e">
        <f t="shared" si="49"/>
        <v>#REF!</v>
      </c>
      <c r="I309" s="195">
        <v>606</v>
      </c>
      <c r="J309" s="195" t="e">
        <f t="shared" si="50"/>
        <v>#REF!</v>
      </c>
      <c r="K309" s="195">
        <v>47.068019999999997</v>
      </c>
      <c r="L309" s="263">
        <v>0.65</v>
      </c>
      <c r="M309" s="293">
        <v>390</v>
      </c>
      <c r="N309" s="280" t="e">
        <f t="shared" si="51"/>
        <v>#REF!</v>
      </c>
      <c r="O309" s="139"/>
    </row>
    <row r="310" spans="1:15" s="136" customFormat="1" ht="14.25" x14ac:dyDescent="0.25">
      <c r="A310" s="194" t="s">
        <v>289</v>
      </c>
      <c r="B310" s="194" t="e">
        <f>IF(#REF!=A310,1,0)</f>
        <v>#REF!</v>
      </c>
      <c r="C310" s="194"/>
      <c r="D310" s="195">
        <v>2</v>
      </c>
      <c r="E310" s="196">
        <v>0.13400000000000001</v>
      </c>
      <c r="F310" s="196" t="e">
        <f t="shared" si="48"/>
        <v>#REF!</v>
      </c>
      <c r="G310" s="196">
        <v>0.875</v>
      </c>
      <c r="H310" s="196" t="e">
        <f t="shared" si="49"/>
        <v>#REF!</v>
      </c>
      <c r="I310" s="195">
        <v>531</v>
      </c>
      <c r="J310" s="195" t="e">
        <f t="shared" si="50"/>
        <v>#REF!</v>
      </c>
      <c r="K310" s="195">
        <v>62.259750000000004</v>
      </c>
      <c r="L310" s="263">
        <v>0.6</v>
      </c>
      <c r="M310" s="293">
        <v>318</v>
      </c>
      <c r="N310" s="280" t="e">
        <f t="shared" si="51"/>
        <v>#REF!</v>
      </c>
      <c r="O310" s="139"/>
    </row>
    <row r="311" spans="1:15" s="136" customFormat="1" ht="14.25" x14ac:dyDescent="0.25">
      <c r="A311" s="139" t="s">
        <v>156</v>
      </c>
      <c r="B311" s="139"/>
      <c r="C311" s="139"/>
      <c r="D311" s="139"/>
      <c r="E311" s="139"/>
      <c r="F311" s="235" t="e">
        <f>SUM(F281:F310)</f>
        <v>#REF!</v>
      </c>
      <c r="G311" s="139"/>
      <c r="H311" s="235" t="e">
        <f>SUM(H281:H310)</f>
        <v>#REF!</v>
      </c>
      <c r="I311" s="139"/>
      <c r="J311" s="236" t="e">
        <f>SUM(J281:J310)</f>
        <v>#REF!</v>
      </c>
      <c r="K311" s="139"/>
      <c r="L311" s="139"/>
      <c r="M311" s="303"/>
      <c r="N311" s="235" t="e">
        <f>SUM(N281:N310)</f>
        <v>#REF!</v>
      </c>
      <c r="O311" s="139"/>
    </row>
    <row r="312" spans="1:15" s="136" customFormat="1" ht="14.25" x14ac:dyDescent="0.25">
      <c r="A312" s="139"/>
      <c r="B312" s="139"/>
      <c r="C312" s="139"/>
      <c r="D312" s="139"/>
      <c r="E312" s="139"/>
      <c r="F312" s="139"/>
      <c r="G312" s="139"/>
      <c r="H312" s="139"/>
      <c r="I312" s="139"/>
      <c r="J312" s="139"/>
      <c r="K312" s="139"/>
      <c r="L312" s="139"/>
      <c r="M312" s="303"/>
      <c r="N312" s="139"/>
      <c r="O312" s="139"/>
    </row>
    <row r="313" spans="1:15" s="136" customFormat="1" ht="41.25" x14ac:dyDescent="0.3">
      <c r="A313" s="193" t="s">
        <v>34</v>
      </c>
      <c r="B313" s="193"/>
      <c r="C313" s="193"/>
      <c r="D313" s="193" t="s">
        <v>186</v>
      </c>
      <c r="E313" s="193" t="s">
        <v>187</v>
      </c>
      <c r="F313" s="193"/>
      <c r="G313" s="193" t="s">
        <v>188</v>
      </c>
      <c r="H313" s="193"/>
      <c r="I313" s="193" t="s">
        <v>189</v>
      </c>
      <c r="J313" s="193"/>
      <c r="K313" s="193" t="s">
        <v>295</v>
      </c>
      <c r="L313" s="262" t="s">
        <v>191</v>
      </c>
      <c r="M313" s="292" t="s">
        <v>292</v>
      </c>
      <c r="N313" s="139"/>
      <c r="O313" s="139"/>
    </row>
    <row r="314" spans="1:15" s="136" customFormat="1" ht="14.25" x14ac:dyDescent="0.25">
      <c r="A314" s="194" t="s">
        <v>298</v>
      </c>
      <c r="B314" s="194" t="e">
        <f>IF(#REF!=A314,1,0)</f>
        <v>#REF!</v>
      </c>
      <c r="C314" s="194"/>
      <c r="D314" s="195"/>
      <c r="E314" s="196">
        <v>0</v>
      </c>
      <c r="F314" s="196" t="e">
        <f t="shared" ref="F314:F343" si="55">IF(B314=1,E314,0)</f>
        <v>#REF!</v>
      </c>
      <c r="G314" s="196">
        <v>0</v>
      </c>
      <c r="H314" s="196" t="e">
        <f t="shared" ref="H314:H343" si="56">IF(B314=1,G314,0)</f>
        <v>#REF!</v>
      </c>
      <c r="I314" s="195">
        <v>0</v>
      </c>
      <c r="J314" s="195" t="e">
        <f t="shared" ref="J314:J343" si="57">IF(B314=1,I314,0)</f>
        <v>#REF!</v>
      </c>
      <c r="K314" s="195">
        <v>0</v>
      </c>
      <c r="L314" s="263">
        <v>0</v>
      </c>
      <c r="M314" s="293">
        <v>0</v>
      </c>
      <c r="N314" s="280" t="e">
        <f t="shared" ref="N314:N343" si="58">IF(B314=1,L314,0)</f>
        <v>#REF!</v>
      </c>
      <c r="O314" s="139"/>
    </row>
    <row r="315" spans="1:15" s="136" customFormat="1" ht="14.25" x14ac:dyDescent="0.25">
      <c r="A315" s="194" t="s">
        <v>32</v>
      </c>
      <c r="B315" s="194" t="e">
        <f>IF(#REF!=A315,1,0)</f>
        <v>#REF!</v>
      </c>
      <c r="C315" s="194"/>
      <c r="D315" s="195">
        <v>5</v>
      </c>
      <c r="E315" s="196">
        <v>0.54799999999999993</v>
      </c>
      <c r="F315" s="196" t="e">
        <f t="shared" si="55"/>
        <v>#REF!</v>
      </c>
      <c r="G315" s="196">
        <v>0.78599999999999992</v>
      </c>
      <c r="H315" s="196" t="e">
        <f t="shared" si="56"/>
        <v>#REF!</v>
      </c>
      <c r="I315" s="195">
        <v>531</v>
      </c>
      <c r="J315" s="195" t="e">
        <f t="shared" si="57"/>
        <v>#REF!</v>
      </c>
      <c r="K315" s="195"/>
      <c r="L315" s="263">
        <v>0.61</v>
      </c>
      <c r="M315" s="293">
        <v>325</v>
      </c>
      <c r="N315" s="280" t="e">
        <f t="shared" si="58"/>
        <v>#REF!</v>
      </c>
      <c r="O315" s="139"/>
    </row>
    <row r="316" spans="1:15" s="136" customFormat="1" ht="14.25" x14ac:dyDescent="0.25">
      <c r="A316" s="194" t="s">
        <v>158</v>
      </c>
      <c r="B316" s="194" t="e">
        <f>IF(#REF!=A316,1,0)</f>
        <v>#REF!</v>
      </c>
      <c r="C316" s="194"/>
      <c r="D316" s="195">
        <v>11</v>
      </c>
      <c r="E316" s="202">
        <v>0.22900000000000001</v>
      </c>
      <c r="F316" s="202" t="e">
        <f t="shared" si="55"/>
        <v>#REF!</v>
      </c>
      <c r="G316" s="202">
        <v>0.82199999999999995</v>
      </c>
      <c r="H316" s="202" t="e">
        <f t="shared" si="56"/>
        <v>#REF!</v>
      </c>
      <c r="I316" s="201">
        <v>350</v>
      </c>
      <c r="J316" s="201" t="e">
        <f t="shared" si="57"/>
        <v>#REF!</v>
      </c>
      <c r="K316" s="201"/>
      <c r="L316" s="265">
        <v>0.57999999999999996</v>
      </c>
      <c r="M316" s="295"/>
      <c r="N316" s="282" t="e">
        <f t="shared" si="58"/>
        <v>#REF!</v>
      </c>
      <c r="O316" s="139" t="s">
        <v>294</v>
      </c>
    </row>
    <row r="317" spans="1:15" s="136" customFormat="1" ht="14.25" x14ac:dyDescent="0.25">
      <c r="A317" s="194" t="s">
        <v>25</v>
      </c>
      <c r="B317" s="194" t="e">
        <f>IF(#REF!=A317,1,0)</f>
        <v>#REF!</v>
      </c>
      <c r="C317" s="194"/>
      <c r="D317" s="195">
        <v>24</v>
      </c>
      <c r="E317" s="202">
        <v>8.8999999999999996E-2</v>
      </c>
      <c r="F317" s="202" t="e">
        <f t="shared" si="55"/>
        <v>#REF!</v>
      </c>
      <c r="G317" s="202">
        <v>0.78900000000000003</v>
      </c>
      <c r="H317" s="202" t="e">
        <f t="shared" si="56"/>
        <v>#REF!</v>
      </c>
      <c r="I317" s="201">
        <v>384</v>
      </c>
      <c r="J317" s="201" t="e">
        <f t="shared" si="57"/>
        <v>#REF!</v>
      </c>
      <c r="K317" s="201"/>
      <c r="L317" s="265">
        <v>0.59899999999999998</v>
      </c>
      <c r="M317" s="295"/>
      <c r="N317" s="282" t="e">
        <f t="shared" si="58"/>
        <v>#REF!</v>
      </c>
      <c r="O317" s="139" t="s">
        <v>294</v>
      </c>
    </row>
    <row r="318" spans="1:15" s="136" customFormat="1" ht="14.25" x14ac:dyDescent="0.25">
      <c r="A318" s="194" t="s">
        <v>196</v>
      </c>
      <c r="B318" s="194" t="e">
        <f>IF(#REF!=A318,1,0)</f>
        <v>#REF!</v>
      </c>
      <c r="C318" s="194"/>
      <c r="D318" s="195">
        <v>34</v>
      </c>
      <c r="E318" s="196">
        <v>0.05</v>
      </c>
      <c r="F318" s="196" t="e">
        <f t="shared" si="55"/>
        <v>#REF!</v>
      </c>
      <c r="G318" s="196">
        <v>0.72599999999999998</v>
      </c>
      <c r="H318" s="196" t="e">
        <f t="shared" si="56"/>
        <v>#REF!</v>
      </c>
      <c r="I318" s="195">
        <v>372</v>
      </c>
      <c r="J318" s="195" t="e">
        <f t="shared" si="57"/>
        <v>#REF!</v>
      </c>
      <c r="K318" s="195"/>
      <c r="L318" s="263" t="s">
        <v>197</v>
      </c>
      <c r="M318" s="293" t="s">
        <v>197</v>
      </c>
      <c r="N318" s="280" t="e">
        <f t="shared" si="58"/>
        <v>#REF!</v>
      </c>
      <c r="O318" s="139"/>
    </row>
    <row r="319" spans="1:15" s="136" customFormat="1" thickBot="1" x14ac:dyDescent="0.3">
      <c r="A319" s="210" t="s">
        <v>159</v>
      </c>
      <c r="B319" s="210" t="e">
        <f>IF(#REF!=A319,1,0)</f>
        <v>#REF!</v>
      </c>
      <c r="C319" s="210"/>
      <c r="D319" s="211">
        <v>6</v>
      </c>
      <c r="E319" s="212">
        <v>0.27200000000000002</v>
      </c>
      <c r="F319" s="212" t="e">
        <f t="shared" si="55"/>
        <v>#REF!</v>
      </c>
      <c r="G319" s="212">
        <v>0.84200000000000008</v>
      </c>
      <c r="H319" s="212" t="e">
        <f t="shared" si="56"/>
        <v>#REF!</v>
      </c>
      <c r="I319" s="211">
        <v>491</v>
      </c>
      <c r="J319" s="211" t="e">
        <f t="shared" si="57"/>
        <v>#REF!</v>
      </c>
      <c r="K319" s="211"/>
      <c r="L319" s="269">
        <v>0.52</v>
      </c>
      <c r="M319" s="293">
        <v>253</v>
      </c>
      <c r="N319" s="280" t="e">
        <f t="shared" si="58"/>
        <v>#REF!</v>
      </c>
      <c r="O319" s="139"/>
    </row>
    <row r="320" spans="1:15" s="136" customFormat="1" ht="14.25" x14ac:dyDescent="0.25">
      <c r="A320" s="225" t="s">
        <v>276</v>
      </c>
      <c r="B320" s="225" t="e">
        <f>IF(#REF!=A320,1,0)</f>
        <v>#REF!</v>
      </c>
      <c r="C320" s="225"/>
      <c r="D320" s="237">
        <v>51</v>
      </c>
      <c r="E320" s="220">
        <v>0.22399999999999998</v>
      </c>
      <c r="F320" s="220" t="e">
        <f t="shared" si="55"/>
        <v>#REF!</v>
      </c>
      <c r="G320" s="220">
        <v>0.90200000000000002</v>
      </c>
      <c r="H320" s="220" t="e">
        <f t="shared" si="56"/>
        <v>#REF!</v>
      </c>
      <c r="I320" s="213">
        <v>603</v>
      </c>
      <c r="J320" s="213" t="e">
        <f t="shared" si="57"/>
        <v>#REF!</v>
      </c>
      <c r="K320" s="213"/>
      <c r="L320" s="278">
        <v>0.5</v>
      </c>
      <c r="M320" s="293">
        <v>304</v>
      </c>
      <c r="N320" s="280" t="e">
        <f t="shared" si="58"/>
        <v>#REF!</v>
      </c>
      <c r="O320" s="139"/>
    </row>
    <row r="321" spans="1:15" s="136" customFormat="1" ht="14.25" x14ac:dyDescent="0.25">
      <c r="A321" s="194" t="s">
        <v>162</v>
      </c>
      <c r="B321" s="194" t="e">
        <f>IF(#REF!=A321,1,0)</f>
        <v>#REF!</v>
      </c>
      <c r="C321" s="194"/>
      <c r="D321" s="206">
        <v>45</v>
      </c>
      <c r="E321" s="202">
        <v>0.28199999999999997</v>
      </c>
      <c r="F321" s="202" t="e">
        <f t="shared" si="55"/>
        <v>#REF!</v>
      </c>
      <c r="G321" s="202">
        <v>0.89700000000000002</v>
      </c>
      <c r="H321" s="202" t="e">
        <f t="shared" si="56"/>
        <v>#REF!</v>
      </c>
      <c r="I321" s="231">
        <v>567</v>
      </c>
      <c r="J321" s="201" t="e">
        <f t="shared" si="57"/>
        <v>#REF!</v>
      </c>
      <c r="K321" s="201"/>
      <c r="L321" s="265">
        <v>0.55700000000000005</v>
      </c>
      <c r="M321" s="300"/>
      <c r="N321" s="282" t="e">
        <f t="shared" si="58"/>
        <v>#REF!</v>
      </c>
      <c r="O321" s="139" t="s">
        <v>294</v>
      </c>
    </row>
    <row r="322" spans="1:15" s="136" customFormat="1" ht="14.25" x14ac:dyDescent="0.25">
      <c r="A322" s="194" t="s">
        <v>277</v>
      </c>
      <c r="B322" s="194" t="e">
        <f>IF(#REF!=A322,1,0)</f>
        <v>#REF!</v>
      </c>
      <c r="C322" s="194"/>
      <c r="D322" s="206">
        <v>28</v>
      </c>
      <c r="E322" s="196">
        <v>0.52700000000000002</v>
      </c>
      <c r="F322" s="196" t="e">
        <f t="shared" si="55"/>
        <v>#REF!</v>
      </c>
      <c r="G322" s="196">
        <v>0.90500000000000003</v>
      </c>
      <c r="H322" s="196" t="e">
        <f t="shared" si="56"/>
        <v>#REF!</v>
      </c>
      <c r="I322" s="195">
        <v>571</v>
      </c>
      <c r="J322" s="195" t="e">
        <f t="shared" si="57"/>
        <v>#REF!</v>
      </c>
      <c r="K322" s="195"/>
      <c r="L322" s="263">
        <v>0.53</v>
      </c>
      <c r="M322" s="293">
        <v>306</v>
      </c>
      <c r="N322" s="280" t="e">
        <f t="shared" si="58"/>
        <v>#REF!</v>
      </c>
      <c r="O322" s="139"/>
    </row>
    <row r="323" spans="1:15" s="136" customFormat="1" ht="14.25" x14ac:dyDescent="0.25">
      <c r="A323" s="194" t="s">
        <v>278</v>
      </c>
      <c r="B323" s="194" t="e">
        <f>IF(#REF!=A323,1,0)</f>
        <v>#REF!</v>
      </c>
      <c r="C323" s="194"/>
      <c r="D323" s="206">
        <v>16</v>
      </c>
      <c r="E323" s="196">
        <v>0.182</v>
      </c>
      <c r="F323" s="196" t="e">
        <f t="shared" si="55"/>
        <v>#REF!</v>
      </c>
      <c r="G323" s="196">
        <v>0.90300000000000002</v>
      </c>
      <c r="H323" s="196" t="e">
        <f t="shared" si="56"/>
        <v>#REF!</v>
      </c>
      <c r="I323" s="195">
        <v>606</v>
      </c>
      <c r="J323" s="195" t="e">
        <f t="shared" si="57"/>
        <v>#REF!</v>
      </c>
      <c r="K323" s="195"/>
      <c r="L323" s="263">
        <v>0.6</v>
      </c>
      <c r="M323" s="293">
        <v>361</v>
      </c>
      <c r="N323" s="280" t="e">
        <f t="shared" si="58"/>
        <v>#REF!</v>
      </c>
      <c r="O323" s="139"/>
    </row>
    <row r="324" spans="1:15" s="136" customFormat="1" ht="14.25" x14ac:dyDescent="0.25">
      <c r="A324" s="194" t="s">
        <v>279</v>
      </c>
      <c r="B324" s="194" t="e">
        <f>IF(#REF!=A324,1,0)</f>
        <v>#REF!</v>
      </c>
      <c r="C324" s="194"/>
      <c r="D324" s="206">
        <v>14</v>
      </c>
      <c r="E324" s="196">
        <v>0.16399999999999998</v>
      </c>
      <c r="F324" s="196" t="e">
        <f t="shared" si="55"/>
        <v>#REF!</v>
      </c>
      <c r="G324" s="196">
        <v>0.89500000000000002</v>
      </c>
      <c r="H324" s="196" t="e">
        <f t="shared" si="56"/>
        <v>#REF!</v>
      </c>
      <c r="I324" s="195">
        <v>546</v>
      </c>
      <c r="J324" s="195" t="e">
        <f t="shared" si="57"/>
        <v>#REF!</v>
      </c>
      <c r="K324" s="195"/>
      <c r="L324" s="263">
        <v>0.5</v>
      </c>
      <c r="M324" s="293">
        <v>274</v>
      </c>
      <c r="N324" s="280" t="e">
        <f t="shared" si="58"/>
        <v>#REF!</v>
      </c>
      <c r="O324" s="139"/>
    </row>
    <row r="325" spans="1:15" s="136" customFormat="1" ht="14.25" x14ac:dyDescent="0.25">
      <c r="A325" s="194" t="s">
        <v>280</v>
      </c>
      <c r="B325" s="194" t="e">
        <f>IF(#REF!=A325,1,0)</f>
        <v>#REF!</v>
      </c>
      <c r="C325" s="194"/>
      <c r="D325" s="195">
        <v>20</v>
      </c>
      <c r="E325" s="196">
        <v>0.20899999999999999</v>
      </c>
      <c r="F325" s="196" t="e">
        <f t="shared" si="55"/>
        <v>#REF!</v>
      </c>
      <c r="G325" s="196">
        <v>0.89</v>
      </c>
      <c r="H325" s="196" t="e">
        <f t="shared" si="56"/>
        <v>#REF!</v>
      </c>
      <c r="I325" s="195">
        <v>56</v>
      </c>
      <c r="J325" s="195" t="e">
        <f t="shared" si="57"/>
        <v>#REF!</v>
      </c>
      <c r="K325" s="195"/>
      <c r="L325" s="263">
        <v>0.56000000000000005</v>
      </c>
      <c r="M325" s="293">
        <v>283</v>
      </c>
      <c r="N325" s="280" t="e">
        <f t="shared" si="58"/>
        <v>#REF!</v>
      </c>
      <c r="O325" s="139"/>
    </row>
    <row r="326" spans="1:15" s="136" customFormat="1" ht="14.25" x14ac:dyDescent="0.25">
      <c r="A326" s="194" t="s">
        <v>199</v>
      </c>
      <c r="B326" s="194" t="e">
        <f>IF(#REF!=A326,1,0)</f>
        <v>#REF!</v>
      </c>
      <c r="C326" s="194"/>
      <c r="D326" s="195">
        <v>59</v>
      </c>
      <c r="E326" s="196">
        <v>0.24299999999999999</v>
      </c>
      <c r="F326" s="196" t="e">
        <f t="shared" si="55"/>
        <v>#REF!</v>
      </c>
      <c r="G326" s="196">
        <v>0.95200000000000007</v>
      </c>
      <c r="H326" s="196" t="e">
        <f t="shared" si="56"/>
        <v>#REF!</v>
      </c>
      <c r="I326" s="195">
        <v>642</v>
      </c>
      <c r="J326" s="195" t="e">
        <f t="shared" si="57"/>
        <v>#REF!</v>
      </c>
      <c r="K326" s="195"/>
      <c r="L326" s="263">
        <v>0.54</v>
      </c>
      <c r="M326" s="293">
        <v>347</v>
      </c>
      <c r="N326" s="280" t="e">
        <f t="shared" si="58"/>
        <v>#REF!</v>
      </c>
      <c r="O326" s="139"/>
    </row>
    <row r="327" spans="1:15" s="136" customFormat="1" ht="14.25" x14ac:dyDescent="0.25">
      <c r="A327" s="194" t="s">
        <v>161</v>
      </c>
      <c r="B327" s="194" t="e">
        <f>IF(#REF!=A327,1,0)</f>
        <v>#REF!</v>
      </c>
      <c r="C327" s="194"/>
      <c r="D327" s="195">
        <v>195</v>
      </c>
      <c r="E327" s="202">
        <v>0.35099999999999998</v>
      </c>
      <c r="F327" s="202" t="e">
        <f t="shared" si="55"/>
        <v>#REF!</v>
      </c>
      <c r="G327" s="202">
        <v>0.96499999999999997</v>
      </c>
      <c r="H327" s="202" t="e">
        <f t="shared" si="56"/>
        <v>#REF!</v>
      </c>
      <c r="I327" s="201">
        <v>658</v>
      </c>
      <c r="J327" s="201" t="e">
        <f t="shared" si="57"/>
        <v>#REF!</v>
      </c>
      <c r="K327" s="201"/>
      <c r="L327" s="265">
        <v>0.54300000000000004</v>
      </c>
      <c r="M327" s="295"/>
      <c r="N327" s="282" t="e">
        <f t="shared" si="58"/>
        <v>#REF!</v>
      </c>
      <c r="O327" s="139" t="s">
        <v>294</v>
      </c>
    </row>
    <row r="328" spans="1:15" s="136" customFormat="1" ht="14.25" x14ac:dyDescent="0.25">
      <c r="A328" s="194" t="s">
        <v>200</v>
      </c>
      <c r="B328" s="194" t="e">
        <f>IF(#REF!=A328,1,0)</f>
        <v>#REF!</v>
      </c>
      <c r="C328" s="194"/>
      <c r="D328" s="195">
        <v>59</v>
      </c>
      <c r="E328" s="196">
        <v>0.40299999999999997</v>
      </c>
      <c r="F328" s="196" t="e">
        <f t="shared" si="55"/>
        <v>#REF!</v>
      </c>
      <c r="G328" s="196">
        <v>0.96099999999999997</v>
      </c>
      <c r="H328" s="196" t="e">
        <f t="shared" si="56"/>
        <v>#REF!</v>
      </c>
      <c r="I328" s="195">
        <v>627</v>
      </c>
      <c r="J328" s="195" t="e">
        <f t="shared" si="57"/>
        <v>#REF!</v>
      </c>
      <c r="K328" s="195"/>
      <c r="L328" s="263">
        <v>0.53</v>
      </c>
      <c r="M328" s="293">
        <v>332</v>
      </c>
      <c r="N328" s="280" t="e">
        <f t="shared" si="58"/>
        <v>#REF!</v>
      </c>
      <c r="O328" s="139"/>
    </row>
    <row r="329" spans="1:15" s="136" customFormat="1" ht="14.25" x14ac:dyDescent="0.25">
      <c r="A329" s="194" t="s">
        <v>201</v>
      </c>
      <c r="B329" s="194" t="e">
        <f>IF(#REF!=A329,1,0)</f>
        <v>#REF!</v>
      </c>
      <c r="C329" s="194"/>
      <c r="D329" s="195">
        <v>6</v>
      </c>
      <c r="E329" s="196">
        <v>0.53400000000000003</v>
      </c>
      <c r="F329" s="196" t="e">
        <f t="shared" si="55"/>
        <v>#REF!</v>
      </c>
      <c r="G329" s="196">
        <v>0.97799999999999998</v>
      </c>
      <c r="H329" s="196" t="e">
        <f t="shared" si="56"/>
        <v>#REF!</v>
      </c>
      <c r="I329" s="195">
        <v>720</v>
      </c>
      <c r="J329" s="195" t="e">
        <f t="shared" si="57"/>
        <v>#REF!</v>
      </c>
      <c r="K329" s="195"/>
      <c r="L329" s="263">
        <v>0.54</v>
      </c>
      <c r="M329" s="293">
        <v>387</v>
      </c>
      <c r="N329" s="280" t="e">
        <f t="shared" si="58"/>
        <v>#REF!</v>
      </c>
      <c r="O329" s="139"/>
    </row>
    <row r="330" spans="1:15" s="136" customFormat="1" ht="14.25" x14ac:dyDescent="0.25">
      <c r="A330" s="194" t="s">
        <v>202</v>
      </c>
      <c r="B330" s="194" t="e">
        <f>IF(#REF!=A330,1,0)</f>
        <v>#REF!</v>
      </c>
      <c r="C330" s="194"/>
      <c r="D330" s="195">
        <v>3</v>
      </c>
      <c r="E330" s="196">
        <v>0.79900000000000004</v>
      </c>
      <c r="F330" s="196" t="e">
        <f t="shared" si="55"/>
        <v>#REF!</v>
      </c>
      <c r="G330" s="196">
        <v>0.94799999999999995</v>
      </c>
      <c r="H330" s="196" t="e">
        <f t="shared" si="56"/>
        <v>#REF!</v>
      </c>
      <c r="I330" s="195">
        <v>764</v>
      </c>
      <c r="J330" s="195" t="e">
        <f t="shared" si="57"/>
        <v>#REF!</v>
      </c>
      <c r="K330" s="195"/>
      <c r="L330" s="263">
        <v>0.51</v>
      </c>
      <c r="M330" s="293">
        <v>385</v>
      </c>
      <c r="N330" s="280" t="e">
        <f t="shared" si="58"/>
        <v>#REF!</v>
      </c>
      <c r="O330" s="139"/>
    </row>
    <row r="331" spans="1:15" s="136" customFormat="1" ht="14.25" x14ac:dyDescent="0.25">
      <c r="A331" s="194" t="s">
        <v>281</v>
      </c>
      <c r="B331" s="194" t="e">
        <f>IF(#REF!=A331,1,0)</f>
        <v>#REF!</v>
      </c>
      <c r="C331" s="194"/>
      <c r="D331" s="195">
        <v>20</v>
      </c>
      <c r="E331" s="196">
        <v>0.26600000000000001</v>
      </c>
      <c r="F331" s="196" t="e">
        <f t="shared" si="55"/>
        <v>#REF!</v>
      </c>
      <c r="G331" s="196">
        <v>0.93299999999999994</v>
      </c>
      <c r="H331" s="196" t="e">
        <f t="shared" si="56"/>
        <v>#REF!</v>
      </c>
      <c r="I331" s="195">
        <v>577</v>
      </c>
      <c r="J331" s="195" t="e">
        <f t="shared" si="57"/>
        <v>#REF!</v>
      </c>
      <c r="K331" s="195"/>
      <c r="L331" s="263">
        <v>0.54</v>
      </c>
      <c r="M331" s="293">
        <v>312</v>
      </c>
      <c r="N331" s="280" t="e">
        <f t="shared" si="58"/>
        <v>#REF!</v>
      </c>
      <c r="O331" s="139"/>
    </row>
    <row r="332" spans="1:15" s="136" customFormat="1" ht="14.25" x14ac:dyDescent="0.25">
      <c r="A332" s="194" t="s">
        <v>160</v>
      </c>
      <c r="B332" s="194" t="e">
        <f>IF(#REF!=A332,1,0)</f>
        <v>#REF!</v>
      </c>
      <c r="C332" s="194"/>
      <c r="D332" s="195">
        <v>50</v>
      </c>
      <c r="E332" s="196">
        <v>0.25700000000000001</v>
      </c>
      <c r="F332" s="196" t="e">
        <f t="shared" si="55"/>
        <v>#REF!</v>
      </c>
      <c r="G332" s="196">
        <v>0.92900000000000005</v>
      </c>
      <c r="H332" s="196" t="e">
        <f t="shared" si="56"/>
        <v>#REF!</v>
      </c>
      <c r="I332" s="195">
        <v>608</v>
      </c>
      <c r="J332" s="195" t="e">
        <f t="shared" si="57"/>
        <v>#REF!</v>
      </c>
      <c r="K332" s="195"/>
      <c r="L332" s="263">
        <v>0.56000000000000005</v>
      </c>
      <c r="M332" s="293">
        <v>336</v>
      </c>
      <c r="N332" s="280" t="e">
        <f t="shared" si="58"/>
        <v>#REF!</v>
      </c>
      <c r="O332" s="139"/>
    </row>
    <row r="333" spans="1:15" s="136" customFormat="1" ht="14.25" x14ac:dyDescent="0.25">
      <c r="A333" s="194" t="s">
        <v>282</v>
      </c>
      <c r="B333" s="194" t="e">
        <f>IF(#REF!=A333,1,0)</f>
        <v>#REF!</v>
      </c>
      <c r="C333" s="194"/>
      <c r="D333" s="195">
        <v>17</v>
      </c>
      <c r="E333" s="196">
        <v>0.27300000000000002</v>
      </c>
      <c r="F333" s="196" t="e">
        <f t="shared" si="55"/>
        <v>#REF!</v>
      </c>
      <c r="G333" s="196">
        <v>0.93900000000000006</v>
      </c>
      <c r="H333" s="196" t="e">
        <f t="shared" si="56"/>
        <v>#REF!</v>
      </c>
      <c r="I333" s="195">
        <v>541</v>
      </c>
      <c r="J333" s="195" t="e">
        <f t="shared" si="57"/>
        <v>#REF!</v>
      </c>
      <c r="K333" s="195"/>
      <c r="L333" s="263">
        <v>0.56000000000000005</v>
      </c>
      <c r="M333" s="293">
        <v>298</v>
      </c>
      <c r="N333" s="280" t="e">
        <f t="shared" si="58"/>
        <v>#REF!</v>
      </c>
      <c r="O333" s="139"/>
    </row>
    <row r="334" spans="1:15" s="136" customFormat="1" ht="14.25" x14ac:dyDescent="0.25">
      <c r="A334" s="194" t="s">
        <v>283</v>
      </c>
      <c r="B334" s="194" t="e">
        <f>IF(#REF!=A334,1,0)</f>
        <v>#REF!</v>
      </c>
      <c r="C334" s="194"/>
      <c r="D334" s="195">
        <v>4</v>
      </c>
      <c r="E334" s="196">
        <v>0.29199999999999998</v>
      </c>
      <c r="F334" s="196" t="e">
        <f t="shared" si="55"/>
        <v>#REF!</v>
      </c>
      <c r="G334" s="196">
        <v>0.93500000000000005</v>
      </c>
      <c r="H334" s="196" t="e">
        <f t="shared" si="56"/>
        <v>#REF!</v>
      </c>
      <c r="I334" s="195">
        <v>609</v>
      </c>
      <c r="J334" s="195" t="e">
        <f t="shared" si="57"/>
        <v>#REF!</v>
      </c>
      <c r="K334" s="195"/>
      <c r="L334" s="263">
        <v>0.56999999999999995</v>
      </c>
      <c r="M334" s="293">
        <v>348</v>
      </c>
      <c r="N334" s="280" t="e">
        <f t="shared" si="58"/>
        <v>#REF!</v>
      </c>
      <c r="O334" s="139"/>
    </row>
    <row r="335" spans="1:15" s="136" customFormat="1" ht="14.25" x14ac:dyDescent="0.25">
      <c r="A335" s="194" t="s">
        <v>163</v>
      </c>
      <c r="B335" s="194" t="e">
        <f>IF(#REF!=A335,1,0)</f>
        <v>#REF!</v>
      </c>
      <c r="C335" s="194"/>
      <c r="D335" s="195">
        <v>222</v>
      </c>
      <c r="E335" s="202">
        <v>0.32800000000000001</v>
      </c>
      <c r="F335" s="202" t="e">
        <f>IF(B335=1,E335,0)</f>
        <v>#REF!</v>
      </c>
      <c r="G335" s="202">
        <v>0.93700000000000006</v>
      </c>
      <c r="H335" s="202" t="e">
        <f>IF(B335=1,G335,0)</f>
        <v>#REF!</v>
      </c>
      <c r="I335" s="201">
        <v>624</v>
      </c>
      <c r="J335" s="201" t="e">
        <f>IF(B335=1,I335,0)</f>
        <v>#REF!</v>
      </c>
      <c r="K335" s="201"/>
      <c r="L335" s="265">
        <v>0.56000000000000005</v>
      </c>
      <c r="M335" s="301"/>
      <c r="N335" s="282" t="e">
        <f t="shared" si="58"/>
        <v>#REF!</v>
      </c>
      <c r="O335" s="139" t="s">
        <v>294</v>
      </c>
    </row>
    <row r="336" spans="1:15" s="136" customFormat="1" thickBot="1" x14ac:dyDescent="0.3">
      <c r="A336" s="194" t="s">
        <v>204</v>
      </c>
      <c r="B336" s="194" t="e">
        <f>IF(#REF!=A336,1,0)</f>
        <v>#REF!</v>
      </c>
      <c r="C336" s="194"/>
      <c r="D336" s="195">
        <v>10</v>
      </c>
      <c r="E336" s="217">
        <v>0.88</v>
      </c>
      <c r="F336" s="217" t="e">
        <f t="shared" ref="F336" si="59">IF(B336=1,E336,0)</f>
        <v>#REF!</v>
      </c>
      <c r="G336" s="217">
        <v>0.97799999999999998</v>
      </c>
      <c r="H336" s="217" t="e">
        <f t="shared" ref="H336" si="60">IF(B336=1,G336,0)</f>
        <v>#REF!</v>
      </c>
      <c r="I336" s="216">
        <v>670</v>
      </c>
      <c r="J336" s="216" t="e">
        <f t="shared" ref="J336" si="61">IF(B336=1,I336,0)</f>
        <v>#REF!</v>
      </c>
      <c r="K336" s="216"/>
      <c r="L336" s="271">
        <v>0.52</v>
      </c>
      <c r="M336" s="295"/>
      <c r="N336" s="286" t="e">
        <f t="shared" si="58"/>
        <v>#REF!</v>
      </c>
      <c r="O336" s="139" t="s">
        <v>294</v>
      </c>
    </row>
    <row r="337" spans="1:15" s="136" customFormat="1" ht="14.25" x14ac:dyDescent="0.25">
      <c r="A337" s="194" t="s">
        <v>21</v>
      </c>
      <c r="B337" s="194" t="e">
        <f>IF(#REF!=A337,1,0)</f>
        <v>#REF!</v>
      </c>
      <c r="C337" s="194"/>
      <c r="D337" s="195">
        <v>17</v>
      </c>
      <c r="E337" s="196">
        <v>0.92799999999999994</v>
      </c>
      <c r="F337" s="196" t="e">
        <f t="shared" si="55"/>
        <v>#REF!</v>
      </c>
      <c r="G337" s="196">
        <v>0.91599999999999993</v>
      </c>
      <c r="H337" s="196" t="e">
        <f t="shared" si="56"/>
        <v>#REF!</v>
      </c>
      <c r="I337" s="195">
        <v>558</v>
      </c>
      <c r="J337" s="195" t="e">
        <f t="shared" si="57"/>
        <v>#REF!</v>
      </c>
      <c r="K337" s="195">
        <v>474.32678399999992</v>
      </c>
      <c r="L337" s="263">
        <v>0.52</v>
      </c>
      <c r="M337" s="293">
        <v>292</v>
      </c>
      <c r="N337" s="280" t="e">
        <f t="shared" si="58"/>
        <v>#REF!</v>
      </c>
      <c r="O337" s="139"/>
    </row>
    <row r="338" spans="1:15" s="136" customFormat="1" ht="14.25" x14ac:dyDescent="0.25">
      <c r="A338" s="194" t="s">
        <v>284</v>
      </c>
      <c r="B338" s="194" t="e">
        <f>IF(#REF!=A338,1,0)</f>
        <v>#REF!</v>
      </c>
      <c r="C338" s="194"/>
      <c r="D338" s="195">
        <v>7</v>
      </c>
      <c r="E338" s="196">
        <v>0.312</v>
      </c>
      <c r="F338" s="196" t="e">
        <f t="shared" si="55"/>
        <v>#REF!</v>
      </c>
      <c r="G338" s="196">
        <v>0.92200000000000004</v>
      </c>
      <c r="H338" s="196" t="e">
        <f t="shared" si="56"/>
        <v>#REF!</v>
      </c>
      <c r="I338" s="195">
        <v>543</v>
      </c>
      <c r="J338" s="195" t="e">
        <f t="shared" si="57"/>
        <v>#REF!</v>
      </c>
      <c r="K338" s="195">
        <v>156.20155199999999</v>
      </c>
      <c r="L338" s="263">
        <v>0.62</v>
      </c>
      <c r="M338" s="293">
        <v>335</v>
      </c>
      <c r="N338" s="280" t="e">
        <f t="shared" si="58"/>
        <v>#REF!</v>
      </c>
      <c r="O338" s="139"/>
    </row>
    <row r="339" spans="1:15" s="136" customFormat="1" ht="14.25" x14ac:dyDescent="0.25">
      <c r="A339" s="194" t="s">
        <v>285</v>
      </c>
      <c r="B339" s="194" t="e">
        <f>IF(#REF!=A339,1,0)</f>
        <v>#REF!</v>
      </c>
      <c r="C339" s="194"/>
      <c r="D339" s="195">
        <v>76</v>
      </c>
      <c r="E339" s="196">
        <v>0.20899999999999999</v>
      </c>
      <c r="F339" s="196" t="e">
        <f t="shared" si="55"/>
        <v>#REF!</v>
      </c>
      <c r="G339" s="196">
        <v>0.88700000000000001</v>
      </c>
      <c r="H339" s="196" t="e">
        <f t="shared" si="56"/>
        <v>#REF!</v>
      </c>
      <c r="I339" s="195">
        <v>517</v>
      </c>
      <c r="J339" s="195" t="e">
        <f t="shared" si="57"/>
        <v>#REF!</v>
      </c>
      <c r="K339" s="195"/>
      <c r="L339" s="263">
        <v>0.56999999999999995</v>
      </c>
      <c r="M339" s="293">
        <v>294</v>
      </c>
      <c r="N339" s="280" t="e">
        <f t="shared" si="58"/>
        <v>#REF!</v>
      </c>
      <c r="O339" s="139"/>
    </row>
    <row r="340" spans="1:15" s="136" customFormat="1" ht="14.25" x14ac:dyDescent="0.25">
      <c r="A340" s="194" t="s">
        <v>286</v>
      </c>
      <c r="B340" s="194" t="e">
        <f>IF(#REF!=A340,1,0)</f>
        <v>#REF!</v>
      </c>
      <c r="C340" s="194"/>
      <c r="D340" s="195">
        <v>46</v>
      </c>
      <c r="E340" s="196">
        <v>0.16300000000000001</v>
      </c>
      <c r="F340" s="196" t="e">
        <f t="shared" si="55"/>
        <v>#REF!</v>
      </c>
      <c r="G340" s="196">
        <v>0.91799999999999993</v>
      </c>
      <c r="H340" s="196" t="e">
        <f t="shared" si="56"/>
        <v>#REF!</v>
      </c>
      <c r="I340" s="195">
        <v>572</v>
      </c>
      <c r="J340" s="195" t="e">
        <f t="shared" si="57"/>
        <v>#REF!</v>
      </c>
      <c r="K340" s="195">
        <v>85.590648000000002</v>
      </c>
      <c r="L340" s="263">
        <v>0.54</v>
      </c>
      <c r="M340" s="293">
        <v>306</v>
      </c>
      <c r="N340" s="280" t="e">
        <f t="shared" si="58"/>
        <v>#REF!</v>
      </c>
      <c r="O340" s="139"/>
    </row>
    <row r="341" spans="1:15" s="136" customFormat="1" ht="14.25" x14ac:dyDescent="0.25">
      <c r="A341" s="194" t="s">
        <v>287</v>
      </c>
      <c r="B341" s="194" t="e">
        <f>IF(#REF!=A341,1,0)</f>
        <v>#REF!</v>
      </c>
      <c r="C341" s="194"/>
      <c r="D341" s="195">
        <v>5</v>
      </c>
      <c r="E341" s="196">
        <v>9.3000000000000013E-2</v>
      </c>
      <c r="F341" s="196" t="e">
        <f t="shared" si="55"/>
        <v>#REF!</v>
      </c>
      <c r="G341" s="196">
        <v>0.80099999999999993</v>
      </c>
      <c r="H341" s="196" t="e">
        <f t="shared" si="56"/>
        <v>#REF!</v>
      </c>
      <c r="I341" s="195">
        <v>509</v>
      </c>
      <c r="J341" s="195" t="e">
        <f t="shared" si="57"/>
        <v>#REF!</v>
      </c>
      <c r="K341" s="195">
        <v>37.916936999999997</v>
      </c>
      <c r="L341" s="263">
        <v>0.6</v>
      </c>
      <c r="M341" s="293">
        <v>305</v>
      </c>
      <c r="N341" s="280" t="e">
        <f t="shared" si="58"/>
        <v>#REF!</v>
      </c>
      <c r="O341" s="139"/>
    </row>
    <row r="342" spans="1:15" s="136" customFormat="1" ht="14.25" x14ac:dyDescent="0.25">
      <c r="A342" s="194" t="s">
        <v>288</v>
      </c>
      <c r="B342" s="194" t="e">
        <f>IF(#REF!=A342,1,0)</f>
        <v>#REF!</v>
      </c>
      <c r="C342" s="194"/>
      <c r="D342" s="195">
        <v>8</v>
      </c>
      <c r="E342" s="196">
        <v>0.09</v>
      </c>
      <c r="F342" s="196" t="e">
        <f t="shared" si="55"/>
        <v>#REF!</v>
      </c>
      <c r="G342" s="196">
        <v>0.86299999999999999</v>
      </c>
      <c r="H342" s="196" t="e">
        <f t="shared" si="56"/>
        <v>#REF!</v>
      </c>
      <c r="I342" s="195">
        <v>606</v>
      </c>
      <c r="J342" s="195" t="e">
        <f t="shared" si="57"/>
        <v>#REF!</v>
      </c>
      <c r="K342" s="195">
        <v>47.068019999999997</v>
      </c>
      <c r="L342" s="263">
        <v>0.65</v>
      </c>
      <c r="M342" s="293">
        <v>390</v>
      </c>
      <c r="N342" s="280" t="e">
        <f t="shared" si="58"/>
        <v>#REF!</v>
      </c>
      <c r="O342" s="139"/>
    </row>
    <row r="343" spans="1:15" s="136" customFormat="1" ht="14.25" x14ac:dyDescent="0.25">
      <c r="A343" s="194" t="s">
        <v>289</v>
      </c>
      <c r="B343" s="194" t="e">
        <f>IF(#REF!=A343,1,0)</f>
        <v>#REF!</v>
      </c>
      <c r="C343" s="194"/>
      <c r="D343" s="195">
        <v>2</v>
      </c>
      <c r="E343" s="196">
        <v>0.13400000000000001</v>
      </c>
      <c r="F343" s="196" t="e">
        <f t="shared" si="55"/>
        <v>#REF!</v>
      </c>
      <c r="G343" s="196">
        <v>0.875</v>
      </c>
      <c r="H343" s="196" t="e">
        <f t="shared" si="56"/>
        <v>#REF!</v>
      </c>
      <c r="I343" s="195">
        <v>531</v>
      </c>
      <c r="J343" s="195" t="e">
        <f t="shared" si="57"/>
        <v>#REF!</v>
      </c>
      <c r="K343" s="195">
        <v>62.259750000000004</v>
      </c>
      <c r="L343" s="263">
        <v>0.6</v>
      </c>
      <c r="M343" s="293">
        <v>318</v>
      </c>
      <c r="N343" s="280" t="e">
        <f t="shared" si="58"/>
        <v>#REF!</v>
      </c>
      <c r="O343" s="139"/>
    </row>
    <row r="344" spans="1:15" s="136" customFormat="1" ht="14.25" x14ac:dyDescent="0.25">
      <c r="A344" s="139" t="s">
        <v>156</v>
      </c>
      <c r="B344" s="139"/>
      <c r="C344" s="139"/>
      <c r="D344" s="139"/>
      <c r="E344" s="139"/>
      <c r="F344" s="235" t="e">
        <f>SUM(F314:F343)</f>
        <v>#REF!</v>
      </c>
      <c r="G344" s="139"/>
      <c r="H344" s="235" t="e">
        <f>SUM(H314:H343)</f>
        <v>#REF!</v>
      </c>
      <c r="I344" s="139"/>
      <c r="J344" s="236" t="e">
        <f>SUM(J314:J343)</f>
        <v>#REF!</v>
      </c>
      <c r="K344" s="139"/>
      <c r="L344" s="139"/>
      <c r="M344" s="303"/>
      <c r="N344" s="235" t="e">
        <f>SUM(N314:N343)</f>
        <v>#REF!</v>
      </c>
      <c r="O344" s="139"/>
    </row>
    <row r="345" spans="1:15" s="136" customFormat="1" ht="14.25" x14ac:dyDescent="0.25">
      <c r="A345" s="139"/>
      <c r="B345" s="139"/>
      <c r="C345" s="139"/>
      <c r="D345" s="139"/>
      <c r="E345" s="139"/>
      <c r="F345" s="139"/>
      <c r="G345" s="139"/>
      <c r="H345" s="139"/>
      <c r="I345" s="139"/>
      <c r="J345" s="139"/>
      <c r="K345" s="139"/>
      <c r="L345" s="139"/>
      <c r="M345" s="303"/>
      <c r="N345" s="139"/>
      <c r="O345" s="139"/>
    </row>
    <row r="346" spans="1:15" s="136" customFormat="1" ht="41.25" x14ac:dyDescent="0.3">
      <c r="A346" s="193" t="s">
        <v>34</v>
      </c>
      <c r="B346" s="193"/>
      <c r="C346" s="193"/>
      <c r="D346" s="193" t="s">
        <v>186</v>
      </c>
      <c r="E346" s="193" t="s">
        <v>187</v>
      </c>
      <c r="F346" s="193"/>
      <c r="G346" s="193" t="s">
        <v>188</v>
      </c>
      <c r="H346" s="193"/>
      <c r="I346" s="193" t="s">
        <v>189</v>
      </c>
      <c r="J346" s="193"/>
      <c r="K346" s="193" t="s">
        <v>295</v>
      </c>
      <c r="L346" s="262" t="s">
        <v>191</v>
      </c>
      <c r="M346" s="292" t="s">
        <v>292</v>
      </c>
      <c r="N346" s="139"/>
      <c r="O346" s="139"/>
    </row>
    <row r="347" spans="1:15" s="136" customFormat="1" ht="14.25" x14ac:dyDescent="0.25">
      <c r="A347" s="194" t="s">
        <v>299</v>
      </c>
      <c r="B347" s="194" t="e">
        <f>IF(#REF!=A347,1,0)</f>
        <v>#REF!</v>
      </c>
      <c r="C347" s="194"/>
      <c r="D347" s="195"/>
      <c r="E347" s="196">
        <v>0</v>
      </c>
      <c r="F347" s="196" t="e">
        <f t="shared" ref="F347:F376" si="62">IF(B347=1,E347,0)</f>
        <v>#REF!</v>
      </c>
      <c r="G347" s="196">
        <v>0</v>
      </c>
      <c r="H347" s="196" t="e">
        <f t="shared" ref="H347:H376" si="63">IF(B347=1,G347,0)</f>
        <v>#REF!</v>
      </c>
      <c r="I347" s="195">
        <v>0</v>
      </c>
      <c r="J347" s="195" t="e">
        <f t="shared" ref="J347:J376" si="64">IF(B347=1,I347,0)</f>
        <v>#REF!</v>
      </c>
      <c r="K347" s="195">
        <v>0</v>
      </c>
      <c r="L347" s="263">
        <v>0</v>
      </c>
      <c r="M347" s="293">
        <v>0</v>
      </c>
      <c r="N347" s="280" t="e">
        <f t="shared" ref="N347:N376" si="65">IF(B347=1,L347,0)</f>
        <v>#REF!</v>
      </c>
      <c r="O347" s="139"/>
    </row>
    <row r="348" spans="1:15" s="136" customFormat="1" ht="14.25" x14ac:dyDescent="0.25">
      <c r="A348" s="194" t="s">
        <v>32</v>
      </c>
      <c r="B348" s="194" t="e">
        <f>IF(#REF!=A348,1,0)</f>
        <v>#REF!</v>
      </c>
      <c r="C348" s="194"/>
      <c r="D348" s="195">
        <v>5</v>
      </c>
      <c r="E348" s="196">
        <v>0.54799999999999993</v>
      </c>
      <c r="F348" s="196" t="e">
        <f t="shared" si="62"/>
        <v>#REF!</v>
      </c>
      <c r="G348" s="196">
        <v>0.78599999999999992</v>
      </c>
      <c r="H348" s="196" t="e">
        <f t="shared" si="63"/>
        <v>#REF!</v>
      </c>
      <c r="I348" s="195">
        <v>531</v>
      </c>
      <c r="J348" s="195" t="e">
        <f t="shared" si="64"/>
        <v>#REF!</v>
      </c>
      <c r="K348" s="195"/>
      <c r="L348" s="263">
        <v>0.61</v>
      </c>
      <c r="M348" s="293">
        <v>325</v>
      </c>
      <c r="N348" s="280" t="e">
        <f t="shared" si="65"/>
        <v>#REF!</v>
      </c>
      <c r="O348" s="139"/>
    </row>
    <row r="349" spans="1:15" s="136" customFormat="1" ht="14.25" x14ac:dyDescent="0.25">
      <c r="A349" s="194" t="s">
        <v>158</v>
      </c>
      <c r="B349" s="194" t="e">
        <f>IF(#REF!=A349,1,0)</f>
        <v>#REF!</v>
      </c>
      <c r="C349" s="194"/>
      <c r="D349" s="195">
        <v>11</v>
      </c>
      <c r="E349" s="202">
        <v>0.22900000000000001</v>
      </c>
      <c r="F349" s="202" t="e">
        <f t="shared" si="62"/>
        <v>#REF!</v>
      </c>
      <c r="G349" s="202">
        <v>0.82199999999999995</v>
      </c>
      <c r="H349" s="202" t="e">
        <f t="shared" si="63"/>
        <v>#REF!</v>
      </c>
      <c r="I349" s="201">
        <v>350</v>
      </c>
      <c r="J349" s="201" t="e">
        <f t="shared" si="64"/>
        <v>#REF!</v>
      </c>
      <c r="K349" s="201"/>
      <c r="L349" s="265">
        <v>0.57999999999999996</v>
      </c>
      <c r="M349" s="295"/>
      <c r="N349" s="282" t="e">
        <f t="shared" si="65"/>
        <v>#REF!</v>
      </c>
      <c r="O349" s="139" t="s">
        <v>294</v>
      </c>
    </row>
    <row r="350" spans="1:15" s="136" customFormat="1" ht="14.25" x14ac:dyDescent="0.25">
      <c r="A350" s="194" t="s">
        <v>25</v>
      </c>
      <c r="B350" s="194" t="e">
        <f>IF(#REF!=A350,1,0)</f>
        <v>#REF!</v>
      </c>
      <c r="C350" s="194"/>
      <c r="D350" s="195">
        <v>24</v>
      </c>
      <c r="E350" s="202">
        <v>8.8999999999999996E-2</v>
      </c>
      <c r="F350" s="202" t="e">
        <f t="shared" si="62"/>
        <v>#REF!</v>
      </c>
      <c r="G350" s="202">
        <v>0.78900000000000003</v>
      </c>
      <c r="H350" s="202" t="e">
        <f t="shared" si="63"/>
        <v>#REF!</v>
      </c>
      <c r="I350" s="201">
        <v>384</v>
      </c>
      <c r="J350" s="201" t="e">
        <f t="shared" si="64"/>
        <v>#REF!</v>
      </c>
      <c r="K350" s="201"/>
      <c r="L350" s="265">
        <v>0.59899999999999998</v>
      </c>
      <c r="M350" s="295"/>
      <c r="N350" s="282" t="e">
        <f t="shared" si="65"/>
        <v>#REF!</v>
      </c>
      <c r="O350" s="139" t="s">
        <v>294</v>
      </c>
    </row>
    <row r="351" spans="1:15" s="136" customFormat="1" ht="14.25" x14ac:dyDescent="0.25">
      <c r="A351" s="194" t="s">
        <v>196</v>
      </c>
      <c r="B351" s="194" t="e">
        <f>IF(#REF!=A351,1,0)</f>
        <v>#REF!</v>
      </c>
      <c r="C351" s="194"/>
      <c r="D351" s="195">
        <v>34</v>
      </c>
      <c r="E351" s="196">
        <v>0.05</v>
      </c>
      <c r="F351" s="196" t="e">
        <f t="shared" si="62"/>
        <v>#REF!</v>
      </c>
      <c r="G351" s="196">
        <v>0.72599999999999998</v>
      </c>
      <c r="H351" s="196" t="e">
        <f t="shared" si="63"/>
        <v>#REF!</v>
      </c>
      <c r="I351" s="195">
        <v>372</v>
      </c>
      <c r="J351" s="195" t="e">
        <f t="shared" si="64"/>
        <v>#REF!</v>
      </c>
      <c r="K351" s="195"/>
      <c r="L351" s="263" t="s">
        <v>197</v>
      </c>
      <c r="M351" s="293" t="s">
        <v>197</v>
      </c>
      <c r="N351" s="280" t="e">
        <f t="shared" si="65"/>
        <v>#REF!</v>
      </c>
      <c r="O351" s="139"/>
    </row>
    <row r="352" spans="1:15" s="136" customFormat="1" thickBot="1" x14ac:dyDescent="0.3">
      <c r="A352" s="210" t="s">
        <v>159</v>
      </c>
      <c r="B352" s="210" t="e">
        <f>IF(#REF!=A352,1,0)</f>
        <v>#REF!</v>
      </c>
      <c r="C352" s="210"/>
      <c r="D352" s="211">
        <v>6</v>
      </c>
      <c r="E352" s="212">
        <v>0.27200000000000002</v>
      </c>
      <c r="F352" s="212" t="e">
        <f t="shared" si="62"/>
        <v>#REF!</v>
      </c>
      <c r="G352" s="212">
        <v>0.84200000000000008</v>
      </c>
      <c r="H352" s="212" t="e">
        <f t="shared" si="63"/>
        <v>#REF!</v>
      </c>
      <c r="I352" s="211">
        <v>491</v>
      </c>
      <c r="J352" s="211" t="e">
        <f t="shared" si="64"/>
        <v>#REF!</v>
      </c>
      <c r="K352" s="211"/>
      <c r="L352" s="269">
        <v>0.52</v>
      </c>
      <c r="M352" s="293">
        <v>253</v>
      </c>
      <c r="N352" s="280" t="e">
        <f t="shared" si="65"/>
        <v>#REF!</v>
      </c>
      <c r="O352" s="139"/>
    </row>
    <row r="353" spans="1:15" s="136" customFormat="1" ht="14.25" x14ac:dyDescent="0.25">
      <c r="A353" s="225" t="s">
        <v>276</v>
      </c>
      <c r="B353" s="225" t="e">
        <f>IF(#REF!=A353,1,0)</f>
        <v>#REF!</v>
      </c>
      <c r="C353" s="225"/>
      <c r="D353" s="237">
        <v>51</v>
      </c>
      <c r="E353" s="220">
        <v>0.22399999999999998</v>
      </c>
      <c r="F353" s="220" t="e">
        <f t="shared" si="62"/>
        <v>#REF!</v>
      </c>
      <c r="G353" s="220">
        <v>0.90200000000000002</v>
      </c>
      <c r="H353" s="220" t="e">
        <f t="shared" si="63"/>
        <v>#REF!</v>
      </c>
      <c r="I353" s="213">
        <v>603</v>
      </c>
      <c r="J353" s="213" t="e">
        <f t="shared" si="64"/>
        <v>#REF!</v>
      </c>
      <c r="K353" s="213"/>
      <c r="L353" s="278">
        <v>0.5</v>
      </c>
      <c r="M353" s="293">
        <v>304</v>
      </c>
      <c r="N353" s="280" t="e">
        <f t="shared" si="65"/>
        <v>#REF!</v>
      </c>
      <c r="O353" s="139"/>
    </row>
    <row r="354" spans="1:15" s="136" customFormat="1" ht="14.25" x14ac:dyDescent="0.25">
      <c r="A354" s="194" t="s">
        <v>162</v>
      </c>
      <c r="B354" s="194" t="e">
        <f>IF(#REF!=A354,1,0)</f>
        <v>#REF!</v>
      </c>
      <c r="C354" s="194"/>
      <c r="D354" s="206">
        <v>45</v>
      </c>
      <c r="E354" s="202">
        <v>0.28199999999999997</v>
      </c>
      <c r="F354" s="202" t="e">
        <f t="shared" si="62"/>
        <v>#REF!</v>
      </c>
      <c r="G354" s="202">
        <v>0.89700000000000002</v>
      </c>
      <c r="H354" s="202" t="e">
        <f t="shared" si="63"/>
        <v>#REF!</v>
      </c>
      <c r="I354" s="231">
        <v>567</v>
      </c>
      <c r="J354" s="201" t="e">
        <f t="shared" si="64"/>
        <v>#REF!</v>
      </c>
      <c r="K354" s="201"/>
      <c r="L354" s="265">
        <v>0.55700000000000005</v>
      </c>
      <c r="M354" s="300"/>
      <c r="N354" s="282" t="e">
        <f t="shared" si="65"/>
        <v>#REF!</v>
      </c>
      <c r="O354" s="139" t="s">
        <v>294</v>
      </c>
    </row>
    <row r="355" spans="1:15" s="136" customFormat="1" ht="14.25" x14ac:dyDescent="0.25">
      <c r="A355" s="194" t="s">
        <v>277</v>
      </c>
      <c r="B355" s="194" t="e">
        <f>IF(#REF!=A355,1,0)</f>
        <v>#REF!</v>
      </c>
      <c r="C355" s="194"/>
      <c r="D355" s="206">
        <v>28</v>
      </c>
      <c r="E355" s="196">
        <v>0.52700000000000002</v>
      </c>
      <c r="F355" s="196" t="e">
        <f t="shared" si="62"/>
        <v>#REF!</v>
      </c>
      <c r="G355" s="196">
        <v>0.90500000000000003</v>
      </c>
      <c r="H355" s="196" t="e">
        <f t="shared" si="63"/>
        <v>#REF!</v>
      </c>
      <c r="I355" s="195">
        <v>571</v>
      </c>
      <c r="J355" s="195" t="e">
        <f t="shared" si="64"/>
        <v>#REF!</v>
      </c>
      <c r="K355" s="195"/>
      <c r="L355" s="263">
        <v>0.53</v>
      </c>
      <c r="M355" s="293">
        <v>306</v>
      </c>
      <c r="N355" s="280" t="e">
        <f t="shared" si="65"/>
        <v>#REF!</v>
      </c>
      <c r="O355" s="139"/>
    </row>
    <row r="356" spans="1:15" s="136" customFormat="1" ht="14.25" x14ac:dyDescent="0.25">
      <c r="A356" s="194" t="s">
        <v>278</v>
      </c>
      <c r="B356" s="194" t="e">
        <f>IF(#REF!=A356,1,0)</f>
        <v>#REF!</v>
      </c>
      <c r="C356" s="194"/>
      <c r="D356" s="206">
        <v>16</v>
      </c>
      <c r="E356" s="196">
        <v>0.182</v>
      </c>
      <c r="F356" s="196" t="e">
        <f t="shared" si="62"/>
        <v>#REF!</v>
      </c>
      <c r="G356" s="196">
        <v>0.90300000000000002</v>
      </c>
      <c r="H356" s="196" t="e">
        <f t="shared" si="63"/>
        <v>#REF!</v>
      </c>
      <c r="I356" s="195">
        <v>606</v>
      </c>
      <c r="J356" s="195" t="e">
        <f t="shared" si="64"/>
        <v>#REF!</v>
      </c>
      <c r="K356" s="195"/>
      <c r="L356" s="263">
        <v>0.6</v>
      </c>
      <c r="M356" s="293">
        <v>361</v>
      </c>
      <c r="N356" s="280" t="e">
        <f t="shared" si="65"/>
        <v>#REF!</v>
      </c>
      <c r="O356" s="139"/>
    </row>
    <row r="357" spans="1:15" s="136" customFormat="1" ht="14.25" x14ac:dyDescent="0.25">
      <c r="A357" s="194" t="s">
        <v>279</v>
      </c>
      <c r="B357" s="194" t="e">
        <f>IF(#REF!=A357,1,0)</f>
        <v>#REF!</v>
      </c>
      <c r="C357" s="194"/>
      <c r="D357" s="206">
        <v>14</v>
      </c>
      <c r="E357" s="196">
        <v>0.16399999999999998</v>
      </c>
      <c r="F357" s="196" t="e">
        <f t="shared" si="62"/>
        <v>#REF!</v>
      </c>
      <c r="G357" s="196">
        <v>0.89500000000000002</v>
      </c>
      <c r="H357" s="196" t="e">
        <f t="shared" si="63"/>
        <v>#REF!</v>
      </c>
      <c r="I357" s="195">
        <v>546</v>
      </c>
      <c r="J357" s="195" t="e">
        <f t="shared" si="64"/>
        <v>#REF!</v>
      </c>
      <c r="K357" s="195"/>
      <c r="L357" s="263">
        <v>0.5</v>
      </c>
      <c r="M357" s="293">
        <v>274</v>
      </c>
      <c r="N357" s="280" t="e">
        <f t="shared" si="65"/>
        <v>#REF!</v>
      </c>
      <c r="O357" s="139"/>
    </row>
    <row r="358" spans="1:15" s="136" customFormat="1" ht="14.25" x14ac:dyDescent="0.25">
      <c r="A358" s="194" t="s">
        <v>280</v>
      </c>
      <c r="B358" s="194" t="e">
        <f>IF(#REF!=A358,1,0)</f>
        <v>#REF!</v>
      </c>
      <c r="C358" s="194"/>
      <c r="D358" s="195">
        <v>20</v>
      </c>
      <c r="E358" s="196">
        <v>0.20899999999999999</v>
      </c>
      <c r="F358" s="196" t="e">
        <f t="shared" si="62"/>
        <v>#REF!</v>
      </c>
      <c r="G358" s="196">
        <v>0.89</v>
      </c>
      <c r="H358" s="196" t="e">
        <f t="shared" si="63"/>
        <v>#REF!</v>
      </c>
      <c r="I358" s="195">
        <v>56</v>
      </c>
      <c r="J358" s="195" t="e">
        <f t="shared" si="64"/>
        <v>#REF!</v>
      </c>
      <c r="K358" s="195"/>
      <c r="L358" s="263">
        <v>0.56000000000000005</v>
      </c>
      <c r="M358" s="293">
        <v>283</v>
      </c>
      <c r="N358" s="280" t="e">
        <f t="shared" si="65"/>
        <v>#REF!</v>
      </c>
      <c r="O358" s="139"/>
    </row>
    <row r="359" spans="1:15" s="136" customFormat="1" ht="14.25" x14ac:dyDescent="0.25">
      <c r="A359" s="194" t="s">
        <v>199</v>
      </c>
      <c r="B359" s="194" t="e">
        <f>IF(#REF!=A359,1,0)</f>
        <v>#REF!</v>
      </c>
      <c r="C359" s="194"/>
      <c r="D359" s="195">
        <v>59</v>
      </c>
      <c r="E359" s="196">
        <v>0.24299999999999999</v>
      </c>
      <c r="F359" s="196" t="e">
        <f t="shared" si="62"/>
        <v>#REF!</v>
      </c>
      <c r="G359" s="196">
        <v>0.95200000000000007</v>
      </c>
      <c r="H359" s="196" t="e">
        <f t="shared" si="63"/>
        <v>#REF!</v>
      </c>
      <c r="I359" s="195">
        <v>642</v>
      </c>
      <c r="J359" s="195" t="e">
        <f t="shared" si="64"/>
        <v>#REF!</v>
      </c>
      <c r="K359" s="195"/>
      <c r="L359" s="263">
        <v>0.54</v>
      </c>
      <c r="M359" s="293">
        <v>347</v>
      </c>
      <c r="N359" s="280" t="e">
        <f t="shared" si="65"/>
        <v>#REF!</v>
      </c>
      <c r="O359" s="139"/>
    </row>
    <row r="360" spans="1:15" s="136" customFormat="1" ht="14.25" x14ac:dyDescent="0.25">
      <c r="A360" s="194" t="s">
        <v>161</v>
      </c>
      <c r="B360" s="194" t="e">
        <f>IF(#REF!=A360,1,0)</f>
        <v>#REF!</v>
      </c>
      <c r="C360" s="194"/>
      <c r="D360" s="195">
        <v>195</v>
      </c>
      <c r="E360" s="202">
        <v>0.35099999999999998</v>
      </c>
      <c r="F360" s="202" t="e">
        <f t="shared" si="62"/>
        <v>#REF!</v>
      </c>
      <c r="G360" s="202">
        <v>0.96499999999999997</v>
      </c>
      <c r="H360" s="202" t="e">
        <f t="shared" si="63"/>
        <v>#REF!</v>
      </c>
      <c r="I360" s="201">
        <v>658</v>
      </c>
      <c r="J360" s="201" t="e">
        <f t="shared" si="64"/>
        <v>#REF!</v>
      </c>
      <c r="K360" s="201"/>
      <c r="L360" s="265">
        <v>0.54300000000000004</v>
      </c>
      <c r="M360" s="295"/>
      <c r="N360" s="282" t="e">
        <f t="shared" si="65"/>
        <v>#REF!</v>
      </c>
      <c r="O360" s="139" t="s">
        <v>294</v>
      </c>
    </row>
    <row r="361" spans="1:15" s="136" customFormat="1" ht="14.25" x14ac:dyDescent="0.25">
      <c r="A361" s="194" t="s">
        <v>200</v>
      </c>
      <c r="B361" s="194" t="e">
        <f>IF(#REF!=A361,1,0)</f>
        <v>#REF!</v>
      </c>
      <c r="C361" s="194"/>
      <c r="D361" s="195">
        <v>59</v>
      </c>
      <c r="E361" s="196">
        <v>0.40299999999999997</v>
      </c>
      <c r="F361" s="196" t="e">
        <f t="shared" si="62"/>
        <v>#REF!</v>
      </c>
      <c r="G361" s="196">
        <v>0.96099999999999997</v>
      </c>
      <c r="H361" s="196" t="e">
        <f t="shared" si="63"/>
        <v>#REF!</v>
      </c>
      <c r="I361" s="195">
        <v>627</v>
      </c>
      <c r="J361" s="195" t="e">
        <f t="shared" si="64"/>
        <v>#REF!</v>
      </c>
      <c r="K361" s="195"/>
      <c r="L361" s="263">
        <v>0.53</v>
      </c>
      <c r="M361" s="293">
        <v>332</v>
      </c>
      <c r="N361" s="280" t="e">
        <f t="shared" si="65"/>
        <v>#REF!</v>
      </c>
      <c r="O361" s="139"/>
    </row>
    <row r="362" spans="1:15" s="136" customFormat="1" ht="14.25" x14ac:dyDescent="0.25">
      <c r="A362" s="194" t="s">
        <v>201</v>
      </c>
      <c r="B362" s="194" t="e">
        <f>IF(#REF!=A362,1,0)</f>
        <v>#REF!</v>
      </c>
      <c r="C362" s="194"/>
      <c r="D362" s="195">
        <v>6</v>
      </c>
      <c r="E362" s="196">
        <v>0.53400000000000003</v>
      </c>
      <c r="F362" s="196" t="e">
        <f t="shared" si="62"/>
        <v>#REF!</v>
      </c>
      <c r="G362" s="196">
        <v>0.97799999999999998</v>
      </c>
      <c r="H362" s="196" t="e">
        <f t="shared" si="63"/>
        <v>#REF!</v>
      </c>
      <c r="I362" s="195">
        <v>720</v>
      </c>
      <c r="J362" s="195" t="e">
        <f t="shared" si="64"/>
        <v>#REF!</v>
      </c>
      <c r="K362" s="195"/>
      <c r="L362" s="263">
        <v>0.54</v>
      </c>
      <c r="M362" s="293">
        <v>387</v>
      </c>
      <c r="N362" s="280" t="e">
        <f t="shared" si="65"/>
        <v>#REF!</v>
      </c>
      <c r="O362" s="139"/>
    </row>
    <row r="363" spans="1:15" s="136" customFormat="1" ht="14.25" x14ac:dyDescent="0.25">
      <c r="A363" s="194" t="s">
        <v>202</v>
      </c>
      <c r="B363" s="194" t="e">
        <f>IF(#REF!=A363,1,0)</f>
        <v>#REF!</v>
      </c>
      <c r="C363" s="194"/>
      <c r="D363" s="195">
        <v>3</v>
      </c>
      <c r="E363" s="196">
        <v>0.79900000000000004</v>
      </c>
      <c r="F363" s="196" t="e">
        <f t="shared" si="62"/>
        <v>#REF!</v>
      </c>
      <c r="G363" s="196">
        <v>0.94799999999999995</v>
      </c>
      <c r="H363" s="196" t="e">
        <f t="shared" si="63"/>
        <v>#REF!</v>
      </c>
      <c r="I363" s="195">
        <v>764</v>
      </c>
      <c r="J363" s="195" t="e">
        <f t="shared" si="64"/>
        <v>#REF!</v>
      </c>
      <c r="K363" s="195"/>
      <c r="L363" s="263">
        <v>0.51</v>
      </c>
      <c r="M363" s="293">
        <v>385</v>
      </c>
      <c r="N363" s="280" t="e">
        <f t="shared" si="65"/>
        <v>#REF!</v>
      </c>
      <c r="O363" s="139"/>
    </row>
    <row r="364" spans="1:15" s="136" customFormat="1" ht="14.25" x14ac:dyDescent="0.25">
      <c r="A364" s="194" t="s">
        <v>281</v>
      </c>
      <c r="B364" s="194" t="e">
        <f>IF(#REF!=A364,1,0)</f>
        <v>#REF!</v>
      </c>
      <c r="C364" s="194"/>
      <c r="D364" s="195">
        <v>20</v>
      </c>
      <c r="E364" s="196">
        <v>0.26600000000000001</v>
      </c>
      <c r="F364" s="196" t="e">
        <f t="shared" si="62"/>
        <v>#REF!</v>
      </c>
      <c r="G364" s="196">
        <v>0.93299999999999994</v>
      </c>
      <c r="H364" s="196" t="e">
        <f t="shared" si="63"/>
        <v>#REF!</v>
      </c>
      <c r="I364" s="195">
        <v>577</v>
      </c>
      <c r="J364" s="195" t="e">
        <f t="shared" si="64"/>
        <v>#REF!</v>
      </c>
      <c r="K364" s="195"/>
      <c r="L364" s="263">
        <v>0.54</v>
      </c>
      <c r="M364" s="293">
        <v>312</v>
      </c>
      <c r="N364" s="280" t="e">
        <f t="shared" si="65"/>
        <v>#REF!</v>
      </c>
      <c r="O364" s="139"/>
    </row>
    <row r="365" spans="1:15" s="136" customFormat="1" ht="14.25" x14ac:dyDescent="0.25">
      <c r="A365" s="194" t="s">
        <v>160</v>
      </c>
      <c r="B365" s="194" t="e">
        <f>IF(#REF!=A365,1,0)</f>
        <v>#REF!</v>
      </c>
      <c r="C365" s="194"/>
      <c r="D365" s="195">
        <v>50</v>
      </c>
      <c r="E365" s="196">
        <v>0.25700000000000001</v>
      </c>
      <c r="F365" s="196" t="e">
        <f t="shared" si="62"/>
        <v>#REF!</v>
      </c>
      <c r="G365" s="196">
        <v>0.92900000000000005</v>
      </c>
      <c r="H365" s="196" t="e">
        <f t="shared" si="63"/>
        <v>#REF!</v>
      </c>
      <c r="I365" s="195">
        <v>608</v>
      </c>
      <c r="J365" s="195" t="e">
        <f t="shared" si="64"/>
        <v>#REF!</v>
      </c>
      <c r="K365" s="195"/>
      <c r="L365" s="263">
        <v>0.56000000000000005</v>
      </c>
      <c r="M365" s="293">
        <v>336</v>
      </c>
      <c r="N365" s="280" t="e">
        <f t="shared" si="65"/>
        <v>#REF!</v>
      </c>
      <c r="O365" s="139"/>
    </row>
    <row r="366" spans="1:15" s="136" customFormat="1" ht="14.25" x14ac:dyDescent="0.25">
      <c r="A366" s="194" t="s">
        <v>282</v>
      </c>
      <c r="B366" s="194" t="e">
        <f>IF(#REF!=A366,1,0)</f>
        <v>#REF!</v>
      </c>
      <c r="C366" s="194"/>
      <c r="D366" s="195">
        <v>17</v>
      </c>
      <c r="E366" s="196">
        <v>0.27300000000000002</v>
      </c>
      <c r="F366" s="196" t="e">
        <f t="shared" si="62"/>
        <v>#REF!</v>
      </c>
      <c r="G366" s="196">
        <v>0.93900000000000006</v>
      </c>
      <c r="H366" s="196" t="e">
        <f t="shared" si="63"/>
        <v>#REF!</v>
      </c>
      <c r="I366" s="195">
        <v>541</v>
      </c>
      <c r="J366" s="195" t="e">
        <f t="shared" si="64"/>
        <v>#REF!</v>
      </c>
      <c r="K366" s="195"/>
      <c r="L366" s="263">
        <v>0.56000000000000005</v>
      </c>
      <c r="M366" s="293">
        <v>298</v>
      </c>
      <c r="N366" s="280" t="e">
        <f t="shared" si="65"/>
        <v>#REF!</v>
      </c>
      <c r="O366" s="139"/>
    </row>
    <row r="367" spans="1:15" s="136" customFormat="1" ht="14.25" x14ac:dyDescent="0.25">
      <c r="A367" s="194" t="s">
        <v>283</v>
      </c>
      <c r="B367" s="194" t="e">
        <f>IF(#REF!=A367,1,0)</f>
        <v>#REF!</v>
      </c>
      <c r="C367" s="194"/>
      <c r="D367" s="195">
        <v>4</v>
      </c>
      <c r="E367" s="196">
        <v>0.29199999999999998</v>
      </c>
      <c r="F367" s="196" t="e">
        <f t="shared" si="62"/>
        <v>#REF!</v>
      </c>
      <c r="G367" s="196">
        <v>0.93500000000000005</v>
      </c>
      <c r="H367" s="196" t="e">
        <f t="shared" si="63"/>
        <v>#REF!</v>
      </c>
      <c r="I367" s="195">
        <v>609</v>
      </c>
      <c r="J367" s="195" t="e">
        <f t="shared" si="64"/>
        <v>#REF!</v>
      </c>
      <c r="K367" s="195"/>
      <c r="L367" s="263">
        <v>0.56999999999999995</v>
      </c>
      <c r="M367" s="293">
        <v>348</v>
      </c>
      <c r="N367" s="280" t="e">
        <f t="shared" si="65"/>
        <v>#REF!</v>
      </c>
      <c r="O367" s="139"/>
    </row>
    <row r="368" spans="1:15" s="136" customFormat="1" ht="14.25" x14ac:dyDescent="0.25">
      <c r="A368" s="194" t="s">
        <v>163</v>
      </c>
      <c r="B368" s="194" t="e">
        <f>IF(#REF!=A368,1,0)</f>
        <v>#REF!</v>
      </c>
      <c r="C368" s="194"/>
      <c r="D368" s="195">
        <v>222</v>
      </c>
      <c r="E368" s="202">
        <v>0.32800000000000001</v>
      </c>
      <c r="F368" s="202" t="e">
        <f>IF(B368=1,E368,0)</f>
        <v>#REF!</v>
      </c>
      <c r="G368" s="202">
        <v>0.93700000000000006</v>
      </c>
      <c r="H368" s="202" t="e">
        <f>IF(B368=1,G368,0)</f>
        <v>#REF!</v>
      </c>
      <c r="I368" s="201">
        <v>624</v>
      </c>
      <c r="J368" s="201" t="e">
        <f>IF(B368=1,I368,0)</f>
        <v>#REF!</v>
      </c>
      <c r="K368" s="201"/>
      <c r="L368" s="265">
        <v>0.56000000000000005</v>
      </c>
      <c r="M368" s="301"/>
      <c r="N368" s="282" t="e">
        <f t="shared" si="65"/>
        <v>#REF!</v>
      </c>
      <c r="O368" s="139" t="s">
        <v>294</v>
      </c>
    </row>
    <row r="369" spans="1:15" s="136" customFormat="1" thickBot="1" x14ac:dyDescent="0.3">
      <c r="A369" s="194" t="s">
        <v>204</v>
      </c>
      <c r="B369" s="194" t="e">
        <f>IF(#REF!=A369,1,0)</f>
        <v>#REF!</v>
      </c>
      <c r="C369" s="194"/>
      <c r="D369" s="195">
        <v>10</v>
      </c>
      <c r="E369" s="217">
        <v>0.88</v>
      </c>
      <c r="F369" s="217" t="e">
        <f t="shared" ref="F369" si="66">IF(B369=1,E369,0)</f>
        <v>#REF!</v>
      </c>
      <c r="G369" s="217">
        <v>0.97799999999999998</v>
      </c>
      <c r="H369" s="217" t="e">
        <f t="shared" ref="H369" si="67">IF(B369=1,G369,0)</f>
        <v>#REF!</v>
      </c>
      <c r="I369" s="216">
        <v>670</v>
      </c>
      <c r="J369" s="216" t="e">
        <f t="shared" ref="J369" si="68">IF(B369=1,I369,0)</f>
        <v>#REF!</v>
      </c>
      <c r="K369" s="216"/>
      <c r="L369" s="271">
        <v>0.52</v>
      </c>
      <c r="M369" s="295"/>
      <c r="N369" s="286" t="e">
        <f t="shared" si="65"/>
        <v>#REF!</v>
      </c>
      <c r="O369" s="139" t="s">
        <v>294</v>
      </c>
    </row>
    <row r="370" spans="1:15" s="136" customFormat="1" ht="14.25" x14ac:dyDescent="0.25">
      <c r="A370" s="194" t="s">
        <v>21</v>
      </c>
      <c r="B370" s="194" t="e">
        <f>IF(#REF!=A370,1,0)</f>
        <v>#REF!</v>
      </c>
      <c r="C370" s="194"/>
      <c r="D370" s="195">
        <v>17</v>
      </c>
      <c r="E370" s="196">
        <v>0.92799999999999994</v>
      </c>
      <c r="F370" s="196" t="e">
        <f t="shared" si="62"/>
        <v>#REF!</v>
      </c>
      <c r="G370" s="196">
        <v>0.91599999999999993</v>
      </c>
      <c r="H370" s="196" t="e">
        <f t="shared" si="63"/>
        <v>#REF!</v>
      </c>
      <c r="I370" s="195">
        <v>558</v>
      </c>
      <c r="J370" s="195" t="e">
        <f t="shared" si="64"/>
        <v>#REF!</v>
      </c>
      <c r="K370" s="195">
        <v>474.32678399999992</v>
      </c>
      <c r="L370" s="263">
        <v>0.52</v>
      </c>
      <c r="M370" s="293">
        <v>292</v>
      </c>
      <c r="N370" s="280" t="e">
        <f t="shared" si="65"/>
        <v>#REF!</v>
      </c>
      <c r="O370" s="139"/>
    </row>
    <row r="371" spans="1:15" s="136" customFormat="1" ht="14.25" x14ac:dyDescent="0.25">
      <c r="A371" s="194" t="s">
        <v>284</v>
      </c>
      <c r="B371" s="194" t="e">
        <f>IF(#REF!=A371,1,0)</f>
        <v>#REF!</v>
      </c>
      <c r="C371" s="194"/>
      <c r="D371" s="195">
        <v>7</v>
      </c>
      <c r="E371" s="196">
        <v>0.312</v>
      </c>
      <c r="F371" s="196" t="e">
        <f t="shared" si="62"/>
        <v>#REF!</v>
      </c>
      <c r="G371" s="196">
        <v>0.92200000000000004</v>
      </c>
      <c r="H371" s="196" t="e">
        <f t="shared" si="63"/>
        <v>#REF!</v>
      </c>
      <c r="I371" s="195">
        <v>543</v>
      </c>
      <c r="J371" s="195" t="e">
        <f t="shared" si="64"/>
        <v>#REF!</v>
      </c>
      <c r="K371" s="195">
        <v>156.20155199999999</v>
      </c>
      <c r="L371" s="263">
        <v>0.62</v>
      </c>
      <c r="M371" s="293">
        <v>335</v>
      </c>
      <c r="N371" s="280" t="e">
        <f t="shared" si="65"/>
        <v>#REF!</v>
      </c>
      <c r="O371" s="139"/>
    </row>
    <row r="372" spans="1:15" s="136" customFormat="1" ht="14.25" x14ac:dyDescent="0.25">
      <c r="A372" s="194" t="s">
        <v>285</v>
      </c>
      <c r="B372" s="194" t="e">
        <f>IF(#REF!=A372,1,0)</f>
        <v>#REF!</v>
      </c>
      <c r="C372" s="194"/>
      <c r="D372" s="195">
        <v>76</v>
      </c>
      <c r="E372" s="196">
        <v>0.20899999999999999</v>
      </c>
      <c r="F372" s="196" t="e">
        <f t="shared" si="62"/>
        <v>#REF!</v>
      </c>
      <c r="G372" s="196">
        <v>0.88700000000000001</v>
      </c>
      <c r="H372" s="196" t="e">
        <f t="shared" si="63"/>
        <v>#REF!</v>
      </c>
      <c r="I372" s="195">
        <v>517</v>
      </c>
      <c r="J372" s="195" t="e">
        <f t="shared" si="64"/>
        <v>#REF!</v>
      </c>
      <c r="K372" s="195"/>
      <c r="L372" s="263">
        <v>0.56999999999999995</v>
      </c>
      <c r="M372" s="293">
        <v>294</v>
      </c>
      <c r="N372" s="280" t="e">
        <f t="shared" si="65"/>
        <v>#REF!</v>
      </c>
      <c r="O372" s="139"/>
    </row>
    <row r="373" spans="1:15" s="136" customFormat="1" ht="14.25" x14ac:dyDescent="0.25">
      <c r="A373" s="194" t="s">
        <v>286</v>
      </c>
      <c r="B373" s="194" t="e">
        <f>IF(#REF!=A373,1,0)</f>
        <v>#REF!</v>
      </c>
      <c r="C373" s="194"/>
      <c r="D373" s="195">
        <v>46</v>
      </c>
      <c r="E373" s="196">
        <v>0.16300000000000001</v>
      </c>
      <c r="F373" s="196" t="e">
        <f t="shared" si="62"/>
        <v>#REF!</v>
      </c>
      <c r="G373" s="196">
        <v>0.91799999999999993</v>
      </c>
      <c r="H373" s="196" t="e">
        <f t="shared" si="63"/>
        <v>#REF!</v>
      </c>
      <c r="I373" s="195">
        <v>572</v>
      </c>
      <c r="J373" s="195" t="e">
        <f t="shared" si="64"/>
        <v>#REF!</v>
      </c>
      <c r="K373" s="195">
        <v>85.590648000000002</v>
      </c>
      <c r="L373" s="263">
        <v>0.54</v>
      </c>
      <c r="M373" s="293">
        <v>306</v>
      </c>
      <c r="N373" s="280" t="e">
        <f t="shared" si="65"/>
        <v>#REF!</v>
      </c>
      <c r="O373" s="139"/>
    </row>
    <row r="374" spans="1:15" s="136" customFormat="1" ht="14.25" x14ac:dyDescent="0.25">
      <c r="A374" s="194" t="s">
        <v>287</v>
      </c>
      <c r="B374" s="194" t="e">
        <f>IF(#REF!=A374,1,0)</f>
        <v>#REF!</v>
      </c>
      <c r="C374" s="194"/>
      <c r="D374" s="195">
        <v>5</v>
      </c>
      <c r="E374" s="196">
        <v>9.3000000000000013E-2</v>
      </c>
      <c r="F374" s="196" t="e">
        <f t="shared" si="62"/>
        <v>#REF!</v>
      </c>
      <c r="G374" s="196">
        <v>0.80099999999999993</v>
      </c>
      <c r="H374" s="196" t="e">
        <f t="shared" si="63"/>
        <v>#REF!</v>
      </c>
      <c r="I374" s="195">
        <v>509</v>
      </c>
      <c r="J374" s="195" t="e">
        <f t="shared" si="64"/>
        <v>#REF!</v>
      </c>
      <c r="K374" s="195">
        <v>37.916936999999997</v>
      </c>
      <c r="L374" s="263">
        <v>0.6</v>
      </c>
      <c r="M374" s="293">
        <v>305</v>
      </c>
      <c r="N374" s="280" t="e">
        <f t="shared" si="65"/>
        <v>#REF!</v>
      </c>
      <c r="O374" s="139"/>
    </row>
    <row r="375" spans="1:15" s="136" customFormat="1" ht="14.25" x14ac:dyDescent="0.25">
      <c r="A375" s="194" t="s">
        <v>288</v>
      </c>
      <c r="B375" s="194" t="e">
        <f>IF(#REF!=A375,1,0)</f>
        <v>#REF!</v>
      </c>
      <c r="C375" s="194"/>
      <c r="D375" s="195">
        <v>8</v>
      </c>
      <c r="E375" s="196">
        <v>0.09</v>
      </c>
      <c r="F375" s="196" t="e">
        <f t="shared" si="62"/>
        <v>#REF!</v>
      </c>
      <c r="G375" s="196">
        <v>0.86299999999999999</v>
      </c>
      <c r="H375" s="196" t="e">
        <f t="shared" si="63"/>
        <v>#REF!</v>
      </c>
      <c r="I375" s="195">
        <v>606</v>
      </c>
      <c r="J375" s="195" t="e">
        <f t="shared" si="64"/>
        <v>#REF!</v>
      </c>
      <c r="K375" s="195">
        <v>47.068019999999997</v>
      </c>
      <c r="L375" s="263">
        <v>0.65</v>
      </c>
      <c r="M375" s="293">
        <v>390</v>
      </c>
      <c r="N375" s="280" t="e">
        <f t="shared" si="65"/>
        <v>#REF!</v>
      </c>
      <c r="O375" s="139"/>
    </row>
    <row r="376" spans="1:15" s="136" customFormat="1" ht="14.25" x14ac:dyDescent="0.25">
      <c r="A376" s="194" t="s">
        <v>289</v>
      </c>
      <c r="B376" s="194" t="e">
        <f>IF(#REF!=A376,1,0)</f>
        <v>#REF!</v>
      </c>
      <c r="C376" s="194"/>
      <c r="D376" s="195">
        <v>2</v>
      </c>
      <c r="E376" s="196">
        <v>0.13400000000000001</v>
      </c>
      <c r="F376" s="196" t="e">
        <f t="shared" si="62"/>
        <v>#REF!</v>
      </c>
      <c r="G376" s="196">
        <v>0.875</v>
      </c>
      <c r="H376" s="196" t="e">
        <f t="shared" si="63"/>
        <v>#REF!</v>
      </c>
      <c r="I376" s="195">
        <v>531</v>
      </c>
      <c r="J376" s="195" t="e">
        <f t="shared" si="64"/>
        <v>#REF!</v>
      </c>
      <c r="K376" s="195">
        <v>62.259750000000004</v>
      </c>
      <c r="L376" s="263">
        <v>0.6</v>
      </c>
      <c r="M376" s="293">
        <v>318</v>
      </c>
      <c r="N376" s="280" t="e">
        <f t="shared" si="65"/>
        <v>#REF!</v>
      </c>
      <c r="O376" s="139"/>
    </row>
    <row r="377" spans="1:15" s="136" customFormat="1" ht="14.25" x14ac:dyDescent="0.25">
      <c r="A377" s="139" t="s">
        <v>156</v>
      </c>
      <c r="B377" s="139"/>
      <c r="C377" s="139"/>
      <c r="D377" s="139"/>
      <c r="E377" s="139"/>
      <c r="F377" s="235" t="e">
        <f>SUM(F347:F376)</f>
        <v>#REF!</v>
      </c>
      <c r="G377" s="139"/>
      <c r="H377" s="235" t="e">
        <f>SUM(H347:H376)</f>
        <v>#REF!</v>
      </c>
      <c r="I377" s="139"/>
      <c r="J377" s="236" t="e">
        <f>SUM(J347:J376)</f>
        <v>#REF!</v>
      </c>
      <c r="K377" s="139"/>
      <c r="L377" s="139"/>
      <c r="M377" s="303"/>
      <c r="N377" s="235" t="e">
        <f>SUM(N347:N376)</f>
        <v>#REF!</v>
      </c>
      <c r="O377" s="139"/>
    </row>
    <row r="378" spans="1:15" s="136" customFormat="1" ht="14.25" x14ac:dyDescent="0.25">
      <c r="A378" s="139"/>
      <c r="B378" s="139"/>
      <c r="C378" s="139"/>
      <c r="D378" s="139"/>
      <c r="E378" s="139"/>
      <c r="F378" s="139"/>
      <c r="G378" s="139"/>
      <c r="H378" s="139"/>
      <c r="I378" s="139"/>
      <c r="J378" s="139"/>
      <c r="K378" s="139"/>
      <c r="L378" s="139"/>
      <c r="M378" s="303"/>
      <c r="N378" s="139"/>
      <c r="O378" s="139"/>
    </row>
    <row r="379" spans="1:15" s="136" customFormat="1" ht="41.25" x14ac:dyDescent="0.3">
      <c r="A379" s="193" t="s">
        <v>34</v>
      </c>
      <c r="B379" s="193"/>
      <c r="C379" s="193"/>
      <c r="D379" s="193" t="s">
        <v>186</v>
      </c>
      <c r="E379" s="193" t="s">
        <v>187</v>
      </c>
      <c r="F379" s="193"/>
      <c r="G379" s="193" t="s">
        <v>188</v>
      </c>
      <c r="H379" s="193"/>
      <c r="I379" s="193" t="s">
        <v>189</v>
      </c>
      <c r="J379" s="193"/>
      <c r="K379" s="193" t="s">
        <v>295</v>
      </c>
      <c r="L379" s="262" t="s">
        <v>191</v>
      </c>
      <c r="M379" s="292" t="s">
        <v>292</v>
      </c>
      <c r="N379" s="139"/>
      <c r="O379" s="139"/>
    </row>
    <row r="380" spans="1:15" s="136" customFormat="1" ht="14.25" x14ac:dyDescent="0.25">
      <c r="A380" s="194" t="s">
        <v>300</v>
      </c>
      <c r="B380" s="194" t="e">
        <f>IF(#REF!=A380,1,0)</f>
        <v>#REF!</v>
      </c>
      <c r="C380" s="194"/>
      <c r="D380" s="195"/>
      <c r="E380" s="196">
        <v>0</v>
      </c>
      <c r="F380" s="196" t="e">
        <f t="shared" ref="F380:F409" si="69">IF(B380=1,E380,0)</f>
        <v>#REF!</v>
      </c>
      <c r="G380" s="196">
        <v>0</v>
      </c>
      <c r="H380" s="196" t="e">
        <f t="shared" ref="H380:H409" si="70">IF(B380=1,G380,0)</f>
        <v>#REF!</v>
      </c>
      <c r="I380" s="195">
        <v>0</v>
      </c>
      <c r="J380" s="195" t="e">
        <f t="shared" ref="J380:J409" si="71">IF(B380=1,I380,0)</f>
        <v>#REF!</v>
      </c>
      <c r="K380" s="195">
        <v>0</v>
      </c>
      <c r="L380" s="263">
        <v>0</v>
      </c>
      <c r="M380" s="293">
        <v>0</v>
      </c>
      <c r="N380" s="280" t="e">
        <f t="shared" ref="N380:N409" si="72">IF(B380=1,L380,0)</f>
        <v>#REF!</v>
      </c>
      <c r="O380" s="139"/>
    </row>
    <row r="381" spans="1:15" s="136" customFormat="1" ht="14.25" x14ac:dyDescent="0.25">
      <c r="A381" s="194" t="s">
        <v>32</v>
      </c>
      <c r="B381" s="194" t="e">
        <f>IF(#REF!=A381,1,0)</f>
        <v>#REF!</v>
      </c>
      <c r="C381" s="194"/>
      <c r="D381" s="195">
        <v>5</v>
      </c>
      <c r="E381" s="196">
        <v>0.54799999999999993</v>
      </c>
      <c r="F381" s="196" t="e">
        <f t="shared" si="69"/>
        <v>#REF!</v>
      </c>
      <c r="G381" s="196">
        <v>0.78599999999999992</v>
      </c>
      <c r="H381" s="196" t="e">
        <f t="shared" si="70"/>
        <v>#REF!</v>
      </c>
      <c r="I381" s="195">
        <v>531</v>
      </c>
      <c r="J381" s="195" t="e">
        <f t="shared" si="71"/>
        <v>#REF!</v>
      </c>
      <c r="K381" s="195"/>
      <c r="L381" s="263">
        <v>0.61</v>
      </c>
      <c r="M381" s="293">
        <v>325</v>
      </c>
      <c r="N381" s="280" t="e">
        <f t="shared" si="72"/>
        <v>#REF!</v>
      </c>
      <c r="O381" s="139"/>
    </row>
    <row r="382" spans="1:15" s="136" customFormat="1" ht="14.25" x14ac:dyDescent="0.25">
      <c r="A382" s="194" t="s">
        <v>158</v>
      </c>
      <c r="B382" s="194" t="e">
        <f>IF(#REF!=A382,1,0)</f>
        <v>#REF!</v>
      </c>
      <c r="C382" s="194"/>
      <c r="D382" s="195">
        <v>11</v>
      </c>
      <c r="E382" s="202">
        <v>0.22900000000000001</v>
      </c>
      <c r="F382" s="202" t="e">
        <f t="shared" si="69"/>
        <v>#REF!</v>
      </c>
      <c r="G382" s="202">
        <v>0.82199999999999995</v>
      </c>
      <c r="H382" s="202" t="e">
        <f t="shared" si="70"/>
        <v>#REF!</v>
      </c>
      <c r="I382" s="201">
        <v>350</v>
      </c>
      <c r="J382" s="201" t="e">
        <f t="shared" si="71"/>
        <v>#REF!</v>
      </c>
      <c r="K382" s="201"/>
      <c r="L382" s="265">
        <v>0.57999999999999996</v>
      </c>
      <c r="M382" s="295"/>
      <c r="N382" s="282" t="e">
        <f t="shared" si="72"/>
        <v>#REF!</v>
      </c>
      <c r="O382" s="139" t="s">
        <v>294</v>
      </c>
    </row>
    <row r="383" spans="1:15" s="136" customFormat="1" ht="14.25" x14ac:dyDescent="0.25">
      <c r="A383" s="194" t="s">
        <v>25</v>
      </c>
      <c r="B383" s="194" t="e">
        <f>IF(#REF!=A383,1,0)</f>
        <v>#REF!</v>
      </c>
      <c r="C383" s="194"/>
      <c r="D383" s="195">
        <v>24</v>
      </c>
      <c r="E383" s="202">
        <v>8.8999999999999996E-2</v>
      </c>
      <c r="F383" s="202" t="e">
        <f t="shared" si="69"/>
        <v>#REF!</v>
      </c>
      <c r="G383" s="202">
        <v>0.78900000000000003</v>
      </c>
      <c r="H383" s="202" t="e">
        <f t="shared" si="70"/>
        <v>#REF!</v>
      </c>
      <c r="I383" s="201">
        <v>384</v>
      </c>
      <c r="J383" s="201" t="e">
        <f t="shared" si="71"/>
        <v>#REF!</v>
      </c>
      <c r="K383" s="201"/>
      <c r="L383" s="265">
        <v>0.59899999999999998</v>
      </c>
      <c r="M383" s="295"/>
      <c r="N383" s="282" t="e">
        <f t="shared" si="72"/>
        <v>#REF!</v>
      </c>
      <c r="O383" s="139" t="s">
        <v>294</v>
      </c>
    </row>
    <row r="384" spans="1:15" s="136" customFormat="1" ht="14.25" x14ac:dyDescent="0.25">
      <c r="A384" s="194" t="s">
        <v>196</v>
      </c>
      <c r="B384" s="194" t="e">
        <f>IF(#REF!=A384,1,0)</f>
        <v>#REF!</v>
      </c>
      <c r="C384" s="194"/>
      <c r="D384" s="195">
        <v>34</v>
      </c>
      <c r="E384" s="196">
        <v>0.05</v>
      </c>
      <c r="F384" s="196" t="e">
        <f t="shared" si="69"/>
        <v>#REF!</v>
      </c>
      <c r="G384" s="196">
        <v>0.72599999999999998</v>
      </c>
      <c r="H384" s="196" t="e">
        <f t="shared" si="70"/>
        <v>#REF!</v>
      </c>
      <c r="I384" s="195">
        <v>372</v>
      </c>
      <c r="J384" s="195" t="e">
        <f t="shared" si="71"/>
        <v>#REF!</v>
      </c>
      <c r="K384" s="195"/>
      <c r="L384" s="263" t="s">
        <v>197</v>
      </c>
      <c r="M384" s="293" t="s">
        <v>197</v>
      </c>
      <c r="N384" s="280" t="e">
        <f t="shared" si="72"/>
        <v>#REF!</v>
      </c>
      <c r="O384" s="139"/>
    </row>
    <row r="385" spans="1:15" s="136" customFormat="1" thickBot="1" x14ac:dyDescent="0.3">
      <c r="A385" s="210" t="s">
        <v>159</v>
      </c>
      <c r="B385" s="210" t="e">
        <f>IF(#REF!=A385,1,0)</f>
        <v>#REF!</v>
      </c>
      <c r="C385" s="210"/>
      <c r="D385" s="211">
        <v>6</v>
      </c>
      <c r="E385" s="212">
        <v>0.27200000000000002</v>
      </c>
      <c r="F385" s="212" t="e">
        <f t="shared" si="69"/>
        <v>#REF!</v>
      </c>
      <c r="G385" s="212">
        <v>0.84200000000000008</v>
      </c>
      <c r="H385" s="212" t="e">
        <f t="shared" si="70"/>
        <v>#REF!</v>
      </c>
      <c r="I385" s="211">
        <v>491</v>
      </c>
      <c r="J385" s="211" t="e">
        <f t="shared" si="71"/>
        <v>#REF!</v>
      </c>
      <c r="K385" s="211"/>
      <c r="L385" s="269">
        <v>0.52</v>
      </c>
      <c r="M385" s="293">
        <v>253</v>
      </c>
      <c r="N385" s="280" t="e">
        <f t="shared" si="72"/>
        <v>#REF!</v>
      </c>
      <c r="O385" s="139"/>
    </row>
    <row r="386" spans="1:15" s="136" customFormat="1" ht="14.25" x14ac:dyDescent="0.25">
      <c r="A386" s="225" t="s">
        <v>276</v>
      </c>
      <c r="B386" s="225" t="e">
        <f>IF(#REF!=A386,1,0)</f>
        <v>#REF!</v>
      </c>
      <c r="C386" s="225"/>
      <c r="D386" s="237">
        <v>51</v>
      </c>
      <c r="E386" s="220">
        <v>0.22399999999999998</v>
      </c>
      <c r="F386" s="220" t="e">
        <f t="shared" si="69"/>
        <v>#REF!</v>
      </c>
      <c r="G386" s="220">
        <v>0.90200000000000002</v>
      </c>
      <c r="H386" s="220" t="e">
        <f t="shared" si="70"/>
        <v>#REF!</v>
      </c>
      <c r="I386" s="213">
        <v>603</v>
      </c>
      <c r="J386" s="213" t="e">
        <f t="shared" si="71"/>
        <v>#REF!</v>
      </c>
      <c r="K386" s="213"/>
      <c r="L386" s="278">
        <v>0.5</v>
      </c>
      <c r="M386" s="293">
        <v>304</v>
      </c>
      <c r="N386" s="280" t="e">
        <f t="shared" si="72"/>
        <v>#REF!</v>
      </c>
      <c r="O386" s="139"/>
    </row>
    <row r="387" spans="1:15" s="136" customFormat="1" ht="14.25" x14ac:dyDescent="0.25">
      <c r="A387" s="194" t="s">
        <v>162</v>
      </c>
      <c r="B387" s="194" t="e">
        <f>IF(#REF!=A387,1,0)</f>
        <v>#REF!</v>
      </c>
      <c r="C387" s="194"/>
      <c r="D387" s="206">
        <v>45</v>
      </c>
      <c r="E387" s="202">
        <v>0.28199999999999997</v>
      </c>
      <c r="F387" s="202" t="e">
        <f t="shared" si="69"/>
        <v>#REF!</v>
      </c>
      <c r="G387" s="202">
        <v>0.89700000000000002</v>
      </c>
      <c r="H387" s="202" t="e">
        <f t="shared" si="70"/>
        <v>#REF!</v>
      </c>
      <c r="I387" s="231">
        <v>567</v>
      </c>
      <c r="J387" s="201" t="e">
        <f t="shared" si="71"/>
        <v>#REF!</v>
      </c>
      <c r="K387" s="201"/>
      <c r="L387" s="265">
        <v>0.55700000000000005</v>
      </c>
      <c r="M387" s="300"/>
      <c r="N387" s="282" t="e">
        <f t="shared" si="72"/>
        <v>#REF!</v>
      </c>
      <c r="O387" s="139" t="s">
        <v>294</v>
      </c>
    </row>
    <row r="388" spans="1:15" s="136" customFormat="1" ht="14.25" x14ac:dyDescent="0.25">
      <c r="A388" s="194" t="s">
        <v>277</v>
      </c>
      <c r="B388" s="194" t="e">
        <f>IF(#REF!=A388,1,0)</f>
        <v>#REF!</v>
      </c>
      <c r="C388" s="194"/>
      <c r="D388" s="206">
        <v>28</v>
      </c>
      <c r="E388" s="196">
        <v>0.52700000000000002</v>
      </c>
      <c r="F388" s="196" t="e">
        <f t="shared" si="69"/>
        <v>#REF!</v>
      </c>
      <c r="G388" s="196">
        <v>0.90500000000000003</v>
      </c>
      <c r="H388" s="196" t="e">
        <f t="shared" si="70"/>
        <v>#REF!</v>
      </c>
      <c r="I388" s="195">
        <v>571</v>
      </c>
      <c r="J388" s="195" t="e">
        <f t="shared" si="71"/>
        <v>#REF!</v>
      </c>
      <c r="K388" s="195"/>
      <c r="L388" s="263">
        <v>0.53</v>
      </c>
      <c r="M388" s="293">
        <v>306</v>
      </c>
      <c r="N388" s="280" t="e">
        <f t="shared" si="72"/>
        <v>#REF!</v>
      </c>
      <c r="O388" s="139"/>
    </row>
    <row r="389" spans="1:15" s="136" customFormat="1" ht="14.25" x14ac:dyDescent="0.25">
      <c r="A389" s="194" t="s">
        <v>278</v>
      </c>
      <c r="B389" s="194" t="e">
        <f>IF(#REF!=A389,1,0)</f>
        <v>#REF!</v>
      </c>
      <c r="C389" s="194"/>
      <c r="D389" s="206">
        <v>16</v>
      </c>
      <c r="E389" s="196">
        <v>0.182</v>
      </c>
      <c r="F389" s="196" t="e">
        <f t="shared" si="69"/>
        <v>#REF!</v>
      </c>
      <c r="G389" s="196">
        <v>0.90300000000000002</v>
      </c>
      <c r="H389" s="196" t="e">
        <f t="shared" si="70"/>
        <v>#REF!</v>
      </c>
      <c r="I389" s="195">
        <v>606</v>
      </c>
      <c r="J389" s="195" t="e">
        <f t="shared" si="71"/>
        <v>#REF!</v>
      </c>
      <c r="K389" s="195"/>
      <c r="L389" s="263">
        <v>0.6</v>
      </c>
      <c r="M389" s="293">
        <v>361</v>
      </c>
      <c r="N389" s="280" t="e">
        <f t="shared" si="72"/>
        <v>#REF!</v>
      </c>
      <c r="O389" s="139"/>
    </row>
    <row r="390" spans="1:15" s="136" customFormat="1" ht="14.25" x14ac:dyDescent="0.25">
      <c r="A390" s="194" t="s">
        <v>279</v>
      </c>
      <c r="B390" s="194" t="e">
        <f>IF(#REF!=A390,1,0)</f>
        <v>#REF!</v>
      </c>
      <c r="C390" s="194"/>
      <c r="D390" s="206">
        <v>14</v>
      </c>
      <c r="E390" s="196">
        <v>0.16399999999999998</v>
      </c>
      <c r="F390" s="196" t="e">
        <f t="shared" si="69"/>
        <v>#REF!</v>
      </c>
      <c r="G390" s="196">
        <v>0.89500000000000002</v>
      </c>
      <c r="H390" s="196" t="e">
        <f t="shared" si="70"/>
        <v>#REF!</v>
      </c>
      <c r="I390" s="195">
        <v>546</v>
      </c>
      <c r="J390" s="195" t="e">
        <f t="shared" si="71"/>
        <v>#REF!</v>
      </c>
      <c r="K390" s="195"/>
      <c r="L390" s="263">
        <v>0.5</v>
      </c>
      <c r="M390" s="293">
        <v>274</v>
      </c>
      <c r="N390" s="280" t="e">
        <f t="shared" si="72"/>
        <v>#REF!</v>
      </c>
      <c r="O390" s="139"/>
    </row>
    <row r="391" spans="1:15" s="136" customFormat="1" ht="14.25" x14ac:dyDescent="0.25">
      <c r="A391" s="194" t="s">
        <v>280</v>
      </c>
      <c r="B391" s="194" t="e">
        <f>IF(#REF!=A391,1,0)</f>
        <v>#REF!</v>
      </c>
      <c r="C391" s="194"/>
      <c r="D391" s="195">
        <v>20</v>
      </c>
      <c r="E391" s="196">
        <v>0.20899999999999999</v>
      </c>
      <c r="F391" s="196" t="e">
        <f t="shared" si="69"/>
        <v>#REF!</v>
      </c>
      <c r="G391" s="196">
        <v>0.89</v>
      </c>
      <c r="H391" s="196" t="e">
        <f t="shared" si="70"/>
        <v>#REF!</v>
      </c>
      <c r="I391" s="195">
        <v>56</v>
      </c>
      <c r="J391" s="195" t="e">
        <f t="shared" si="71"/>
        <v>#REF!</v>
      </c>
      <c r="K391" s="195"/>
      <c r="L391" s="263">
        <v>0.56000000000000005</v>
      </c>
      <c r="M391" s="293">
        <v>283</v>
      </c>
      <c r="N391" s="280" t="e">
        <f t="shared" si="72"/>
        <v>#REF!</v>
      </c>
      <c r="O391" s="139"/>
    </row>
    <row r="392" spans="1:15" s="136" customFormat="1" ht="14.25" x14ac:dyDescent="0.25">
      <c r="A392" s="194" t="s">
        <v>199</v>
      </c>
      <c r="B392" s="194" t="e">
        <f>IF(#REF!=A392,1,0)</f>
        <v>#REF!</v>
      </c>
      <c r="C392" s="194"/>
      <c r="D392" s="195">
        <v>59</v>
      </c>
      <c r="E392" s="196">
        <v>0.24299999999999999</v>
      </c>
      <c r="F392" s="196" t="e">
        <f t="shared" si="69"/>
        <v>#REF!</v>
      </c>
      <c r="G392" s="196">
        <v>0.95200000000000007</v>
      </c>
      <c r="H392" s="196" t="e">
        <f t="shared" si="70"/>
        <v>#REF!</v>
      </c>
      <c r="I392" s="195">
        <v>642</v>
      </c>
      <c r="J392" s="195" t="e">
        <f t="shared" si="71"/>
        <v>#REF!</v>
      </c>
      <c r="K392" s="195"/>
      <c r="L392" s="263">
        <v>0.54</v>
      </c>
      <c r="M392" s="293">
        <v>347</v>
      </c>
      <c r="N392" s="280" t="e">
        <f t="shared" si="72"/>
        <v>#REF!</v>
      </c>
      <c r="O392" s="139"/>
    </row>
    <row r="393" spans="1:15" s="136" customFormat="1" ht="14.25" x14ac:dyDescent="0.25">
      <c r="A393" s="194" t="s">
        <v>161</v>
      </c>
      <c r="B393" s="194" t="e">
        <f>IF(#REF!=A393,1,0)</f>
        <v>#REF!</v>
      </c>
      <c r="C393" s="194"/>
      <c r="D393" s="195">
        <v>195</v>
      </c>
      <c r="E393" s="202">
        <v>0.35099999999999998</v>
      </c>
      <c r="F393" s="202" t="e">
        <f t="shared" si="69"/>
        <v>#REF!</v>
      </c>
      <c r="G393" s="202">
        <v>0.96499999999999997</v>
      </c>
      <c r="H393" s="202" t="e">
        <f t="shared" si="70"/>
        <v>#REF!</v>
      </c>
      <c r="I393" s="201">
        <v>658</v>
      </c>
      <c r="J393" s="201" t="e">
        <f t="shared" si="71"/>
        <v>#REF!</v>
      </c>
      <c r="K393" s="201"/>
      <c r="L393" s="265">
        <v>0.54300000000000004</v>
      </c>
      <c r="M393" s="295"/>
      <c r="N393" s="282" t="e">
        <f t="shared" si="72"/>
        <v>#REF!</v>
      </c>
      <c r="O393" s="139" t="s">
        <v>294</v>
      </c>
    </row>
    <row r="394" spans="1:15" s="136" customFormat="1" ht="14.25" x14ac:dyDescent="0.25">
      <c r="A394" s="194" t="s">
        <v>200</v>
      </c>
      <c r="B394" s="194" t="e">
        <f>IF(#REF!=A394,1,0)</f>
        <v>#REF!</v>
      </c>
      <c r="C394" s="194"/>
      <c r="D394" s="195">
        <v>59</v>
      </c>
      <c r="E394" s="196">
        <v>0.40299999999999997</v>
      </c>
      <c r="F394" s="196" t="e">
        <f t="shared" si="69"/>
        <v>#REF!</v>
      </c>
      <c r="G394" s="196">
        <v>0.96099999999999997</v>
      </c>
      <c r="H394" s="196" t="e">
        <f t="shared" si="70"/>
        <v>#REF!</v>
      </c>
      <c r="I394" s="195">
        <v>627</v>
      </c>
      <c r="J394" s="195" t="e">
        <f t="shared" si="71"/>
        <v>#REF!</v>
      </c>
      <c r="K394" s="195"/>
      <c r="L394" s="263">
        <v>0.53</v>
      </c>
      <c r="M394" s="293">
        <v>332</v>
      </c>
      <c r="N394" s="280" t="e">
        <f t="shared" si="72"/>
        <v>#REF!</v>
      </c>
      <c r="O394" s="139"/>
    </row>
    <row r="395" spans="1:15" s="136" customFormat="1" ht="14.25" x14ac:dyDescent="0.25">
      <c r="A395" s="194" t="s">
        <v>201</v>
      </c>
      <c r="B395" s="194" t="e">
        <f>IF(#REF!=A395,1,0)</f>
        <v>#REF!</v>
      </c>
      <c r="C395" s="194"/>
      <c r="D395" s="195">
        <v>6</v>
      </c>
      <c r="E395" s="196">
        <v>0.53400000000000003</v>
      </c>
      <c r="F395" s="196" t="e">
        <f t="shared" si="69"/>
        <v>#REF!</v>
      </c>
      <c r="G395" s="196">
        <v>0.97799999999999998</v>
      </c>
      <c r="H395" s="196" t="e">
        <f t="shared" si="70"/>
        <v>#REF!</v>
      </c>
      <c r="I395" s="195">
        <v>720</v>
      </c>
      <c r="J395" s="195" t="e">
        <f t="shared" si="71"/>
        <v>#REF!</v>
      </c>
      <c r="K395" s="195"/>
      <c r="L395" s="263">
        <v>0.54</v>
      </c>
      <c r="M395" s="293">
        <v>387</v>
      </c>
      <c r="N395" s="280" t="e">
        <f t="shared" si="72"/>
        <v>#REF!</v>
      </c>
      <c r="O395" s="139"/>
    </row>
    <row r="396" spans="1:15" s="136" customFormat="1" ht="14.25" x14ac:dyDescent="0.25">
      <c r="A396" s="194" t="s">
        <v>202</v>
      </c>
      <c r="B396" s="194" t="e">
        <f>IF(#REF!=A396,1,0)</f>
        <v>#REF!</v>
      </c>
      <c r="C396" s="194"/>
      <c r="D396" s="195">
        <v>3</v>
      </c>
      <c r="E396" s="196">
        <v>0.79900000000000004</v>
      </c>
      <c r="F396" s="196" t="e">
        <f t="shared" si="69"/>
        <v>#REF!</v>
      </c>
      <c r="G396" s="196">
        <v>0.94799999999999995</v>
      </c>
      <c r="H396" s="196" t="e">
        <f t="shared" si="70"/>
        <v>#REF!</v>
      </c>
      <c r="I396" s="195">
        <v>764</v>
      </c>
      <c r="J396" s="195" t="e">
        <f t="shared" si="71"/>
        <v>#REF!</v>
      </c>
      <c r="K396" s="195"/>
      <c r="L396" s="263">
        <v>0.51</v>
      </c>
      <c r="M396" s="293">
        <v>385</v>
      </c>
      <c r="N396" s="280" t="e">
        <f t="shared" si="72"/>
        <v>#REF!</v>
      </c>
      <c r="O396" s="139"/>
    </row>
    <row r="397" spans="1:15" s="136" customFormat="1" ht="14.25" x14ac:dyDescent="0.25">
      <c r="A397" s="194" t="s">
        <v>281</v>
      </c>
      <c r="B397" s="194" t="e">
        <f>IF(#REF!=A397,1,0)</f>
        <v>#REF!</v>
      </c>
      <c r="C397" s="194"/>
      <c r="D397" s="195">
        <v>20</v>
      </c>
      <c r="E397" s="196">
        <v>0.26600000000000001</v>
      </c>
      <c r="F397" s="196" t="e">
        <f t="shared" si="69"/>
        <v>#REF!</v>
      </c>
      <c r="G397" s="196">
        <v>0.93299999999999994</v>
      </c>
      <c r="H397" s="196" t="e">
        <f t="shared" si="70"/>
        <v>#REF!</v>
      </c>
      <c r="I397" s="195">
        <v>577</v>
      </c>
      <c r="J397" s="195" t="e">
        <f t="shared" si="71"/>
        <v>#REF!</v>
      </c>
      <c r="K397" s="195"/>
      <c r="L397" s="263">
        <v>0.54</v>
      </c>
      <c r="M397" s="293">
        <v>312</v>
      </c>
      <c r="N397" s="280" t="e">
        <f t="shared" si="72"/>
        <v>#REF!</v>
      </c>
      <c r="O397" s="139"/>
    </row>
    <row r="398" spans="1:15" s="136" customFormat="1" ht="14.25" x14ac:dyDescent="0.25">
      <c r="A398" s="194" t="s">
        <v>160</v>
      </c>
      <c r="B398" s="194" t="e">
        <f>IF(#REF!=A398,1,0)</f>
        <v>#REF!</v>
      </c>
      <c r="C398" s="194"/>
      <c r="D398" s="195">
        <v>50</v>
      </c>
      <c r="E398" s="196">
        <v>0.25700000000000001</v>
      </c>
      <c r="F398" s="196" t="e">
        <f t="shared" si="69"/>
        <v>#REF!</v>
      </c>
      <c r="G398" s="196">
        <v>0.92900000000000005</v>
      </c>
      <c r="H398" s="196" t="e">
        <f t="shared" si="70"/>
        <v>#REF!</v>
      </c>
      <c r="I398" s="195">
        <v>608</v>
      </c>
      <c r="J398" s="195" t="e">
        <f t="shared" si="71"/>
        <v>#REF!</v>
      </c>
      <c r="K398" s="195"/>
      <c r="L398" s="263">
        <v>0.56000000000000005</v>
      </c>
      <c r="M398" s="293">
        <v>336</v>
      </c>
      <c r="N398" s="280" t="e">
        <f t="shared" si="72"/>
        <v>#REF!</v>
      </c>
      <c r="O398" s="139"/>
    </row>
    <row r="399" spans="1:15" s="136" customFormat="1" ht="14.25" x14ac:dyDescent="0.25">
      <c r="A399" s="194" t="s">
        <v>282</v>
      </c>
      <c r="B399" s="194" t="e">
        <f>IF(#REF!=A399,1,0)</f>
        <v>#REF!</v>
      </c>
      <c r="C399" s="194"/>
      <c r="D399" s="195">
        <v>17</v>
      </c>
      <c r="E399" s="196">
        <v>0.27300000000000002</v>
      </c>
      <c r="F399" s="196" t="e">
        <f t="shared" si="69"/>
        <v>#REF!</v>
      </c>
      <c r="G399" s="196">
        <v>0.93900000000000006</v>
      </c>
      <c r="H399" s="196" t="e">
        <f t="shared" si="70"/>
        <v>#REF!</v>
      </c>
      <c r="I399" s="195">
        <v>541</v>
      </c>
      <c r="J399" s="195" t="e">
        <f t="shared" si="71"/>
        <v>#REF!</v>
      </c>
      <c r="K399" s="195"/>
      <c r="L399" s="263">
        <v>0.56000000000000005</v>
      </c>
      <c r="M399" s="293">
        <v>298</v>
      </c>
      <c r="N399" s="280" t="e">
        <f t="shared" si="72"/>
        <v>#REF!</v>
      </c>
      <c r="O399" s="139"/>
    </row>
    <row r="400" spans="1:15" s="136" customFormat="1" ht="14.25" x14ac:dyDescent="0.25">
      <c r="A400" s="194" t="s">
        <v>283</v>
      </c>
      <c r="B400" s="194" t="e">
        <f>IF(#REF!=A400,1,0)</f>
        <v>#REF!</v>
      </c>
      <c r="C400" s="194"/>
      <c r="D400" s="195">
        <v>4</v>
      </c>
      <c r="E400" s="196">
        <v>0.29199999999999998</v>
      </c>
      <c r="F400" s="196" t="e">
        <f t="shared" si="69"/>
        <v>#REF!</v>
      </c>
      <c r="G400" s="196">
        <v>0.93500000000000005</v>
      </c>
      <c r="H400" s="196" t="e">
        <f t="shared" si="70"/>
        <v>#REF!</v>
      </c>
      <c r="I400" s="195">
        <v>609</v>
      </c>
      <c r="J400" s="195" t="e">
        <f t="shared" si="71"/>
        <v>#REF!</v>
      </c>
      <c r="K400" s="195"/>
      <c r="L400" s="263">
        <v>0.56999999999999995</v>
      </c>
      <c r="M400" s="293">
        <v>348</v>
      </c>
      <c r="N400" s="280" t="e">
        <f t="shared" si="72"/>
        <v>#REF!</v>
      </c>
      <c r="O400" s="139"/>
    </row>
    <row r="401" spans="1:15" s="136" customFormat="1" ht="14.25" x14ac:dyDescent="0.25">
      <c r="A401" s="194" t="s">
        <v>163</v>
      </c>
      <c r="B401" s="194" t="e">
        <f>IF(#REF!=A401,1,0)</f>
        <v>#REF!</v>
      </c>
      <c r="C401" s="194"/>
      <c r="D401" s="195">
        <v>222</v>
      </c>
      <c r="E401" s="202">
        <v>0.32800000000000001</v>
      </c>
      <c r="F401" s="202" t="e">
        <f>IF(B401=1,E401,0)</f>
        <v>#REF!</v>
      </c>
      <c r="G401" s="202">
        <v>0.93700000000000006</v>
      </c>
      <c r="H401" s="202" t="e">
        <f>IF(B401=1,G401,0)</f>
        <v>#REF!</v>
      </c>
      <c r="I401" s="201">
        <v>624</v>
      </c>
      <c r="J401" s="201" t="e">
        <f>IF(B401=1,I401,0)</f>
        <v>#REF!</v>
      </c>
      <c r="K401" s="201"/>
      <c r="L401" s="265">
        <v>0.56000000000000005</v>
      </c>
      <c r="M401" s="301"/>
      <c r="N401" s="282" t="e">
        <f t="shared" si="72"/>
        <v>#REF!</v>
      </c>
      <c r="O401" s="139" t="s">
        <v>294</v>
      </c>
    </row>
    <row r="402" spans="1:15" s="136" customFormat="1" thickBot="1" x14ac:dyDescent="0.3">
      <c r="A402" s="194" t="s">
        <v>204</v>
      </c>
      <c r="B402" s="194" t="e">
        <f>IF(#REF!=A402,1,0)</f>
        <v>#REF!</v>
      </c>
      <c r="C402" s="194"/>
      <c r="D402" s="195">
        <v>10</v>
      </c>
      <c r="E402" s="217">
        <v>0.88</v>
      </c>
      <c r="F402" s="217" t="e">
        <f t="shared" ref="F402" si="73">IF(B402=1,E402,0)</f>
        <v>#REF!</v>
      </c>
      <c r="G402" s="217">
        <v>0.97799999999999998</v>
      </c>
      <c r="H402" s="217" t="e">
        <f t="shared" ref="H402" si="74">IF(B402=1,G402,0)</f>
        <v>#REF!</v>
      </c>
      <c r="I402" s="216">
        <v>670</v>
      </c>
      <c r="J402" s="216" t="e">
        <f t="shared" ref="J402" si="75">IF(B402=1,I402,0)</f>
        <v>#REF!</v>
      </c>
      <c r="K402" s="216"/>
      <c r="L402" s="271">
        <v>0.52</v>
      </c>
      <c r="M402" s="295"/>
      <c r="N402" s="286" t="e">
        <f t="shared" si="72"/>
        <v>#REF!</v>
      </c>
      <c r="O402" s="139" t="s">
        <v>294</v>
      </c>
    </row>
    <row r="403" spans="1:15" s="136" customFormat="1" ht="14.25" x14ac:dyDescent="0.25">
      <c r="A403" s="194" t="s">
        <v>21</v>
      </c>
      <c r="B403" s="194" t="e">
        <f>IF(#REF!=A403,1,0)</f>
        <v>#REF!</v>
      </c>
      <c r="C403" s="194"/>
      <c r="D403" s="195">
        <v>17</v>
      </c>
      <c r="E403" s="196">
        <v>0.92799999999999994</v>
      </c>
      <c r="F403" s="196" t="e">
        <f t="shared" si="69"/>
        <v>#REF!</v>
      </c>
      <c r="G403" s="196">
        <v>0.91599999999999993</v>
      </c>
      <c r="H403" s="196" t="e">
        <f t="shared" si="70"/>
        <v>#REF!</v>
      </c>
      <c r="I403" s="195">
        <v>558</v>
      </c>
      <c r="J403" s="195" t="e">
        <f t="shared" si="71"/>
        <v>#REF!</v>
      </c>
      <c r="K403" s="195">
        <v>474.32678399999992</v>
      </c>
      <c r="L403" s="263">
        <v>0.52</v>
      </c>
      <c r="M403" s="293">
        <v>292</v>
      </c>
      <c r="N403" s="280" t="e">
        <f t="shared" si="72"/>
        <v>#REF!</v>
      </c>
      <c r="O403" s="139"/>
    </row>
    <row r="404" spans="1:15" s="136" customFormat="1" ht="14.25" x14ac:dyDescent="0.25">
      <c r="A404" s="194" t="s">
        <v>284</v>
      </c>
      <c r="B404" s="194" t="e">
        <f>IF(#REF!=A404,1,0)</f>
        <v>#REF!</v>
      </c>
      <c r="C404" s="194"/>
      <c r="D404" s="195">
        <v>7</v>
      </c>
      <c r="E404" s="196">
        <v>0.312</v>
      </c>
      <c r="F404" s="196" t="e">
        <f t="shared" si="69"/>
        <v>#REF!</v>
      </c>
      <c r="G404" s="196">
        <v>0.92200000000000004</v>
      </c>
      <c r="H404" s="196" t="e">
        <f t="shared" si="70"/>
        <v>#REF!</v>
      </c>
      <c r="I404" s="195">
        <v>543</v>
      </c>
      <c r="J404" s="195" t="e">
        <f t="shared" si="71"/>
        <v>#REF!</v>
      </c>
      <c r="K404" s="195">
        <v>156.20155199999999</v>
      </c>
      <c r="L404" s="263">
        <v>0.62</v>
      </c>
      <c r="M404" s="293">
        <v>335</v>
      </c>
      <c r="N404" s="280" t="e">
        <f t="shared" si="72"/>
        <v>#REF!</v>
      </c>
      <c r="O404" s="139"/>
    </row>
    <row r="405" spans="1:15" s="136" customFormat="1" ht="14.25" x14ac:dyDescent="0.25">
      <c r="A405" s="194" t="s">
        <v>285</v>
      </c>
      <c r="B405" s="194" t="e">
        <f>IF(#REF!=A405,1,0)</f>
        <v>#REF!</v>
      </c>
      <c r="C405" s="194"/>
      <c r="D405" s="195">
        <v>76</v>
      </c>
      <c r="E405" s="196">
        <v>0.20899999999999999</v>
      </c>
      <c r="F405" s="196" t="e">
        <f t="shared" si="69"/>
        <v>#REF!</v>
      </c>
      <c r="G405" s="196">
        <v>0.88700000000000001</v>
      </c>
      <c r="H405" s="196" t="e">
        <f t="shared" si="70"/>
        <v>#REF!</v>
      </c>
      <c r="I405" s="195">
        <v>517</v>
      </c>
      <c r="J405" s="195" t="e">
        <f t="shared" si="71"/>
        <v>#REF!</v>
      </c>
      <c r="K405" s="195"/>
      <c r="L405" s="263">
        <v>0.56999999999999995</v>
      </c>
      <c r="M405" s="293">
        <v>294</v>
      </c>
      <c r="N405" s="280" t="e">
        <f t="shared" si="72"/>
        <v>#REF!</v>
      </c>
      <c r="O405" s="139"/>
    </row>
    <row r="406" spans="1:15" s="136" customFormat="1" ht="14.25" x14ac:dyDescent="0.25">
      <c r="A406" s="194" t="s">
        <v>286</v>
      </c>
      <c r="B406" s="194" t="e">
        <f>IF(#REF!=A406,1,0)</f>
        <v>#REF!</v>
      </c>
      <c r="C406" s="194"/>
      <c r="D406" s="195">
        <v>46</v>
      </c>
      <c r="E406" s="196">
        <v>0.16300000000000001</v>
      </c>
      <c r="F406" s="196" t="e">
        <f t="shared" si="69"/>
        <v>#REF!</v>
      </c>
      <c r="G406" s="196">
        <v>0.91799999999999993</v>
      </c>
      <c r="H406" s="196" t="e">
        <f t="shared" si="70"/>
        <v>#REF!</v>
      </c>
      <c r="I406" s="195">
        <v>572</v>
      </c>
      <c r="J406" s="195" t="e">
        <f t="shared" si="71"/>
        <v>#REF!</v>
      </c>
      <c r="K406" s="195">
        <v>85.590648000000002</v>
      </c>
      <c r="L406" s="263">
        <v>0.54</v>
      </c>
      <c r="M406" s="293">
        <v>306</v>
      </c>
      <c r="N406" s="280" t="e">
        <f t="shared" si="72"/>
        <v>#REF!</v>
      </c>
      <c r="O406" s="139"/>
    </row>
    <row r="407" spans="1:15" s="136" customFormat="1" ht="14.25" x14ac:dyDescent="0.25">
      <c r="A407" s="194" t="s">
        <v>287</v>
      </c>
      <c r="B407" s="194" t="e">
        <f>IF(#REF!=A407,1,0)</f>
        <v>#REF!</v>
      </c>
      <c r="C407" s="194"/>
      <c r="D407" s="195">
        <v>5</v>
      </c>
      <c r="E407" s="196">
        <v>9.3000000000000013E-2</v>
      </c>
      <c r="F407" s="196" t="e">
        <f t="shared" si="69"/>
        <v>#REF!</v>
      </c>
      <c r="G407" s="196">
        <v>0.80099999999999993</v>
      </c>
      <c r="H407" s="196" t="e">
        <f t="shared" si="70"/>
        <v>#REF!</v>
      </c>
      <c r="I407" s="195">
        <v>509</v>
      </c>
      <c r="J407" s="195" t="e">
        <f t="shared" si="71"/>
        <v>#REF!</v>
      </c>
      <c r="K407" s="195">
        <v>37.916936999999997</v>
      </c>
      <c r="L407" s="263">
        <v>0.6</v>
      </c>
      <c r="M407" s="293">
        <v>305</v>
      </c>
      <c r="N407" s="280" t="e">
        <f t="shared" si="72"/>
        <v>#REF!</v>
      </c>
      <c r="O407" s="139"/>
    </row>
    <row r="408" spans="1:15" s="136" customFormat="1" ht="14.25" x14ac:dyDescent="0.25">
      <c r="A408" s="194" t="s">
        <v>288</v>
      </c>
      <c r="B408" s="194" t="e">
        <f>IF(#REF!=A408,1,0)</f>
        <v>#REF!</v>
      </c>
      <c r="C408" s="194"/>
      <c r="D408" s="195">
        <v>8</v>
      </c>
      <c r="E408" s="196">
        <v>0.09</v>
      </c>
      <c r="F408" s="196" t="e">
        <f t="shared" si="69"/>
        <v>#REF!</v>
      </c>
      <c r="G408" s="196">
        <v>0.86299999999999999</v>
      </c>
      <c r="H408" s="196" t="e">
        <f t="shared" si="70"/>
        <v>#REF!</v>
      </c>
      <c r="I408" s="195">
        <v>606</v>
      </c>
      <c r="J408" s="195" t="e">
        <f t="shared" si="71"/>
        <v>#REF!</v>
      </c>
      <c r="K408" s="195">
        <v>47.068019999999997</v>
      </c>
      <c r="L408" s="263">
        <v>0.65</v>
      </c>
      <c r="M408" s="293">
        <v>390</v>
      </c>
      <c r="N408" s="280" t="e">
        <f t="shared" si="72"/>
        <v>#REF!</v>
      </c>
      <c r="O408" s="139"/>
    </row>
    <row r="409" spans="1:15" s="136" customFormat="1" ht="14.25" x14ac:dyDescent="0.25">
      <c r="A409" s="194" t="s">
        <v>289</v>
      </c>
      <c r="B409" s="194" t="e">
        <f>IF(#REF!=A409,1,0)</f>
        <v>#REF!</v>
      </c>
      <c r="C409" s="194"/>
      <c r="D409" s="195">
        <v>2</v>
      </c>
      <c r="E409" s="196">
        <v>0.13400000000000001</v>
      </c>
      <c r="F409" s="196" t="e">
        <f t="shared" si="69"/>
        <v>#REF!</v>
      </c>
      <c r="G409" s="196">
        <v>0.875</v>
      </c>
      <c r="H409" s="196" t="e">
        <f t="shared" si="70"/>
        <v>#REF!</v>
      </c>
      <c r="I409" s="195">
        <v>531</v>
      </c>
      <c r="J409" s="195" t="e">
        <f t="shared" si="71"/>
        <v>#REF!</v>
      </c>
      <c r="K409" s="195">
        <v>62.259750000000004</v>
      </c>
      <c r="L409" s="263">
        <v>0.6</v>
      </c>
      <c r="M409" s="293">
        <v>318</v>
      </c>
      <c r="N409" s="280" t="e">
        <f t="shared" si="72"/>
        <v>#REF!</v>
      </c>
      <c r="O409" s="139"/>
    </row>
    <row r="410" spans="1:15" s="136" customFormat="1" ht="14.25" x14ac:dyDescent="0.25">
      <c r="A410" s="139" t="s">
        <v>156</v>
      </c>
      <c r="B410" s="139"/>
      <c r="C410" s="139"/>
      <c r="D410" s="139"/>
      <c r="E410" s="139"/>
      <c r="F410" s="235" t="e">
        <f>SUM(F380:F409)</f>
        <v>#REF!</v>
      </c>
      <c r="G410" s="139"/>
      <c r="H410" s="235" t="e">
        <f>SUM(H380:H409)</f>
        <v>#REF!</v>
      </c>
      <c r="I410" s="139"/>
      <c r="J410" s="236" t="e">
        <f>SUM(J380:J409)</f>
        <v>#REF!</v>
      </c>
      <c r="K410" s="139"/>
      <c r="L410" s="139"/>
      <c r="M410" s="303"/>
      <c r="N410" s="235" t="e">
        <f>SUM(N380:N409)</f>
        <v>#REF!</v>
      </c>
      <c r="O410" s="139"/>
    </row>
    <row r="411" spans="1:15" s="136" customFormat="1" ht="14.25" x14ac:dyDescent="0.25">
      <c r="A411" s="139"/>
      <c r="B411" s="139"/>
      <c r="C411" s="139"/>
      <c r="D411" s="139"/>
      <c r="E411" s="139"/>
      <c r="F411" s="139"/>
      <c r="G411" s="139"/>
      <c r="H411" s="139"/>
      <c r="I411" s="139"/>
      <c r="J411" s="139"/>
      <c r="K411" s="139"/>
      <c r="L411" s="139"/>
      <c r="M411" s="303"/>
      <c r="N411" s="139"/>
      <c r="O411" s="139"/>
    </row>
    <row r="412" spans="1:15" s="136" customFormat="1" ht="41.25" x14ac:dyDescent="0.3">
      <c r="A412" s="193" t="s">
        <v>34</v>
      </c>
      <c r="B412" s="193"/>
      <c r="C412" s="193"/>
      <c r="D412" s="193" t="s">
        <v>186</v>
      </c>
      <c r="E412" s="193" t="s">
        <v>187</v>
      </c>
      <c r="F412" s="193"/>
      <c r="G412" s="193" t="s">
        <v>188</v>
      </c>
      <c r="H412" s="193"/>
      <c r="I412" s="193" t="s">
        <v>189</v>
      </c>
      <c r="J412" s="193"/>
      <c r="K412" s="193" t="s">
        <v>295</v>
      </c>
      <c r="L412" s="262" t="s">
        <v>191</v>
      </c>
      <c r="M412" s="292" t="s">
        <v>292</v>
      </c>
      <c r="N412" s="139"/>
      <c r="O412" s="139"/>
    </row>
    <row r="413" spans="1:15" s="136" customFormat="1" ht="14.25" x14ac:dyDescent="0.25">
      <c r="A413" s="194" t="s">
        <v>301</v>
      </c>
      <c r="B413" s="194" t="e">
        <f>IF(#REF!=A413,1,0)</f>
        <v>#REF!</v>
      </c>
      <c r="C413" s="194"/>
      <c r="D413" s="195"/>
      <c r="E413" s="196">
        <v>0</v>
      </c>
      <c r="F413" s="196" t="e">
        <f t="shared" ref="F413:F442" si="76">IF(B413=1,E413,0)</f>
        <v>#REF!</v>
      </c>
      <c r="G413" s="196">
        <v>0</v>
      </c>
      <c r="H413" s="196" t="e">
        <f t="shared" ref="H413:H442" si="77">IF(B413=1,G413,0)</f>
        <v>#REF!</v>
      </c>
      <c r="I413" s="195">
        <v>0</v>
      </c>
      <c r="J413" s="195" t="e">
        <f t="shared" ref="J413:J442" si="78">IF(B413=1,I413,0)</f>
        <v>#REF!</v>
      </c>
      <c r="K413" s="195">
        <v>0</v>
      </c>
      <c r="L413" s="263">
        <v>0</v>
      </c>
      <c r="M413" s="293">
        <v>0</v>
      </c>
      <c r="N413" s="280" t="e">
        <f t="shared" ref="N413:N442" si="79">IF(B413=1,L413,0)</f>
        <v>#REF!</v>
      </c>
      <c r="O413" s="139"/>
    </row>
    <row r="414" spans="1:15" s="136" customFormat="1" ht="14.25" x14ac:dyDescent="0.25">
      <c r="A414" s="194" t="s">
        <v>32</v>
      </c>
      <c r="B414" s="194" t="e">
        <f>IF(#REF!=A414,1,0)</f>
        <v>#REF!</v>
      </c>
      <c r="C414" s="194"/>
      <c r="D414" s="195">
        <v>5</v>
      </c>
      <c r="E414" s="196">
        <v>0.54799999999999993</v>
      </c>
      <c r="F414" s="196" t="e">
        <f t="shared" si="76"/>
        <v>#REF!</v>
      </c>
      <c r="G414" s="196">
        <v>0.78599999999999992</v>
      </c>
      <c r="H414" s="196" t="e">
        <f t="shared" si="77"/>
        <v>#REF!</v>
      </c>
      <c r="I414" s="195">
        <v>531</v>
      </c>
      <c r="J414" s="195" t="e">
        <f t="shared" si="78"/>
        <v>#REF!</v>
      </c>
      <c r="K414" s="195"/>
      <c r="L414" s="263">
        <v>0.61</v>
      </c>
      <c r="M414" s="293">
        <v>325</v>
      </c>
      <c r="N414" s="280" t="e">
        <f t="shared" si="79"/>
        <v>#REF!</v>
      </c>
      <c r="O414" s="139"/>
    </row>
    <row r="415" spans="1:15" s="136" customFormat="1" ht="14.25" x14ac:dyDescent="0.25">
      <c r="A415" s="194" t="s">
        <v>158</v>
      </c>
      <c r="B415" s="194" t="e">
        <f>IF(#REF!=A415,1,0)</f>
        <v>#REF!</v>
      </c>
      <c r="C415" s="194"/>
      <c r="D415" s="195">
        <v>11</v>
      </c>
      <c r="E415" s="202">
        <v>0.22900000000000001</v>
      </c>
      <c r="F415" s="202" t="e">
        <f t="shared" si="76"/>
        <v>#REF!</v>
      </c>
      <c r="G415" s="202">
        <v>0.82199999999999995</v>
      </c>
      <c r="H415" s="202" t="e">
        <f t="shared" si="77"/>
        <v>#REF!</v>
      </c>
      <c r="I415" s="201">
        <v>350</v>
      </c>
      <c r="J415" s="201" t="e">
        <f t="shared" si="78"/>
        <v>#REF!</v>
      </c>
      <c r="K415" s="201"/>
      <c r="L415" s="265">
        <v>0.57999999999999996</v>
      </c>
      <c r="M415" s="295"/>
      <c r="N415" s="282" t="e">
        <f t="shared" si="79"/>
        <v>#REF!</v>
      </c>
      <c r="O415" s="139" t="s">
        <v>294</v>
      </c>
    </row>
    <row r="416" spans="1:15" s="136" customFormat="1" ht="14.25" x14ac:dyDescent="0.25">
      <c r="A416" s="194" t="s">
        <v>25</v>
      </c>
      <c r="B416" s="194" t="e">
        <f>IF(#REF!=A416,1,0)</f>
        <v>#REF!</v>
      </c>
      <c r="C416" s="194"/>
      <c r="D416" s="195">
        <v>24</v>
      </c>
      <c r="E416" s="202">
        <v>8.8999999999999996E-2</v>
      </c>
      <c r="F416" s="202" t="e">
        <f t="shared" si="76"/>
        <v>#REF!</v>
      </c>
      <c r="G416" s="202">
        <v>0.78900000000000003</v>
      </c>
      <c r="H416" s="202" t="e">
        <f t="shared" si="77"/>
        <v>#REF!</v>
      </c>
      <c r="I416" s="201">
        <v>384</v>
      </c>
      <c r="J416" s="201" t="e">
        <f t="shared" si="78"/>
        <v>#REF!</v>
      </c>
      <c r="K416" s="201"/>
      <c r="L416" s="265">
        <v>0.59899999999999998</v>
      </c>
      <c r="M416" s="295"/>
      <c r="N416" s="282" t="e">
        <f t="shared" si="79"/>
        <v>#REF!</v>
      </c>
      <c r="O416" s="139" t="s">
        <v>294</v>
      </c>
    </row>
    <row r="417" spans="1:15" s="136" customFormat="1" ht="14.25" x14ac:dyDescent="0.25">
      <c r="A417" s="194" t="s">
        <v>196</v>
      </c>
      <c r="B417" s="194" t="e">
        <f>IF(#REF!=A417,1,0)</f>
        <v>#REF!</v>
      </c>
      <c r="C417" s="194"/>
      <c r="D417" s="195">
        <v>34</v>
      </c>
      <c r="E417" s="196">
        <v>0.05</v>
      </c>
      <c r="F417" s="196" t="e">
        <f t="shared" si="76"/>
        <v>#REF!</v>
      </c>
      <c r="G417" s="196">
        <v>0.72599999999999998</v>
      </c>
      <c r="H417" s="196" t="e">
        <f t="shared" si="77"/>
        <v>#REF!</v>
      </c>
      <c r="I417" s="195">
        <v>372</v>
      </c>
      <c r="J417" s="195" t="e">
        <f t="shared" si="78"/>
        <v>#REF!</v>
      </c>
      <c r="K417" s="195"/>
      <c r="L417" s="263" t="s">
        <v>197</v>
      </c>
      <c r="M417" s="293" t="s">
        <v>197</v>
      </c>
      <c r="N417" s="280" t="e">
        <f t="shared" si="79"/>
        <v>#REF!</v>
      </c>
      <c r="O417" s="139"/>
    </row>
    <row r="418" spans="1:15" s="136" customFormat="1" thickBot="1" x14ac:dyDescent="0.3">
      <c r="A418" s="210" t="s">
        <v>159</v>
      </c>
      <c r="B418" s="210" t="e">
        <f>IF(#REF!=A418,1,0)</f>
        <v>#REF!</v>
      </c>
      <c r="C418" s="210"/>
      <c r="D418" s="211">
        <v>6</v>
      </c>
      <c r="E418" s="212">
        <v>0.27200000000000002</v>
      </c>
      <c r="F418" s="212" t="e">
        <f t="shared" si="76"/>
        <v>#REF!</v>
      </c>
      <c r="G418" s="212">
        <v>0.84200000000000008</v>
      </c>
      <c r="H418" s="212" t="e">
        <f t="shared" si="77"/>
        <v>#REF!</v>
      </c>
      <c r="I418" s="211">
        <v>491</v>
      </c>
      <c r="J418" s="211" t="e">
        <f t="shared" si="78"/>
        <v>#REF!</v>
      </c>
      <c r="K418" s="211"/>
      <c r="L418" s="269">
        <v>0.52</v>
      </c>
      <c r="M418" s="293">
        <v>253</v>
      </c>
      <c r="N418" s="280" t="e">
        <f t="shared" si="79"/>
        <v>#REF!</v>
      </c>
      <c r="O418" s="139"/>
    </row>
    <row r="419" spans="1:15" s="136" customFormat="1" ht="14.25" x14ac:dyDescent="0.25">
      <c r="A419" s="225" t="s">
        <v>276</v>
      </c>
      <c r="B419" s="225" t="e">
        <f>IF(#REF!=A419,1,0)</f>
        <v>#REF!</v>
      </c>
      <c r="C419" s="225"/>
      <c r="D419" s="237">
        <v>51</v>
      </c>
      <c r="E419" s="220">
        <v>0.22399999999999998</v>
      </c>
      <c r="F419" s="220" t="e">
        <f t="shared" si="76"/>
        <v>#REF!</v>
      </c>
      <c r="G419" s="220">
        <v>0.90200000000000002</v>
      </c>
      <c r="H419" s="220" t="e">
        <f t="shared" si="77"/>
        <v>#REF!</v>
      </c>
      <c r="I419" s="213">
        <v>603</v>
      </c>
      <c r="J419" s="213" t="e">
        <f t="shared" si="78"/>
        <v>#REF!</v>
      </c>
      <c r="K419" s="213"/>
      <c r="L419" s="278">
        <v>0.5</v>
      </c>
      <c r="M419" s="293">
        <v>304</v>
      </c>
      <c r="N419" s="280" t="e">
        <f t="shared" si="79"/>
        <v>#REF!</v>
      </c>
      <c r="O419" s="139"/>
    </row>
    <row r="420" spans="1:15" s="136" customFormat="1" ht="14.25" x14ac:dyDescent="0.25">
      <c r="A420" s="194" t="s">
        <v>162</v>
      </c>
      <c r="B420" s="194" t="e">
        <f>IF(#REF!=A420,1,0)</f>
        <v>#REF!</v>
      </c>
      <c r="C420" s="194"/>
      <c r="D420" s="206">
        <v>45</v>
      </c>
      <c r="E420" s="202">
        <v>0.28199999999999997</v>
      </c>
      <c r="F420" s="202" t="e">
        <f t="shared" si="76"/>
        <v>#REF!</v>
      </c>
      <c r="G420" s="202">
        <v>0.89700000000000002</v>
      </c>
      <c r="H420" s="202" t="e">
        <f t="shared" si="77"/>
        <v>#REF!</v>
      </c>
      <c r="I420" s="231">
        <v>567</v>
      </c>
      <c r="J420" s="201" t="e">
        <f t="shared" si="78"/>
        <v>#REF!</v>
      </c>
      <c r="K420" s="201"/>
      <c r="L420" s="265">
        <v>0.55700000000000005</v>
      </c>
      <c r="M420" s="300"/>
      <c r="N420" s="282" t="e">
        <f t="shared" si="79"/>
        <v>#REF!</v>
      </c>
      <c r="O420" s="139" t="s">
        <v>294</v>
      </c>
    </row>
    <row r="421" spans="1:15" s="136" customFormat="1" ht="14.25" x14ac:dyDescent="0.25">
      <c r="A421" s="194" t="s">
        <v>277</v>
      </c>
      <c r="B421" s="194" t="e">
        <f>IF(#REF!=A421,1,0)</f>
        <v>#REF!</v>
      </c>
      <c r="C421" s="194"/>
      <c r="D421" s="206">
        <v>28</v>
      </c>
      <c r="E421" s="196">
        <v>0.52700000000000002</v>
      </c>
      <c r="F421" s="196" t="e">
        <f t="shared" si="76"/>
        <v>#REF!</v>
      </c>
      <c r="G421" s="196">
        <v>0.90500000000000003</v>
      </c>
      <c r="H421" s="196" t="e">
        <f t="shared" si="77"/>
        <v>#REF!</v>
      </c>
      <c r="I421" s="195">
        <v>571</v>
      </c>
      <c r="J421" s="195" t="e">
        <f t="shared" si="78"/>
        <v>#REF!</v>
      </c>
      <c r="K421" s="195"/>
      <c r="L421" s="263">
        <v>0.53</v>
      </c>
      <c r="M421" s="293">
        <v>306</v>
      </c>
      <c r="N421" s="280" t="e">
        <f t="shared" si="79"/>
        <v>#REF!</v>
      </c>
      <c r="O421" s="139"/>
    </row>
    <row r="422" spans="1:15" s="136" customFormat="1" ht="14.25" x14ac:dyDescent="0.25">
      <c r="A422" s="194" t="s">
        <v>278</v>
      </c>
      <c r="B422" s="194" t="e">
        <f>IF(#REF!=A422,1,0)</f>
        <v>#REF!</v>
      </c>
      <c r="C422" s="194"/>
      <c r="D422" s="206">
        <v>16</v>
      </c>
      <c r="E422" s="196">
        <v>0.182</v>
      </c>
      <c r="F422" s="196" t="e">
        <f t="shared" si="76"/>
        <v>#REF!</v>
      </c>
      <c r="G422" s="196">
        <v>0.90300000000000002</v>
      </c>
      <c r="H422" s="196" t="e">
        <f t="shared" si="77"/>
        <v>#REF!</v>
      </c>
      <c r="I422" s="195">
        <v>606</v>
      </c>
      <c r="J422" s="195" t="e">
        <f t="shared" si="78"/>
        <v>#REF!</v>
      </c>
      <c r="K422" s="195"/>
      <c r="L422" s="263">
        <v>0.6</v>
      </c>
      <c r="M422" s="293">
        <v>361</v>
      </c>
      <c r="N422" s="280" t="e">
        <f t="shared" si="79"/>
        <v>#REF!</v>
      </c>
      <c r="O422" s="139"/>
    </row>
    <row r="423" spans="1:15" s="136" customFormat="1" ht="14.25" x14ac:dyDescent="0.25">
      <c r="A423" s="194" t="s">
        <v>279</v>
      </c>
      <c r="B423" s="194" t="e">
        <f>IF(#REF!=A423,1,0)</f>
        <v>#REF!</v>
      </c>
      <c r="C423" s="194"/>
      <c r="D423" s="206">
        <v>14</v>
      </c>
      <c r="E423" s="196">
        <v>0.16399999999999998</v>
      </c>
      <c r="F423" s="196" t="e">
        <f t="shared" si="76"/>
        <v>#REF!</v>
      </c>
      <c r="G423" s="196">
        <v>0.89500000000000002</v>
      </c>
      <c r="H423" s="196" t="e">
        <f t="shared" si="77"/>
        <v>#REF!</v>
      </c>
      <c r="I423" s="195">
        <v>546</v>
      </c>
      <c r="J423" s="195" t="e">
        <f t="shared" si="78"/>
        <v>#REF!</v>
      </c>
      <c r="K423" s="195"/>
      <c r="L423" s="263">
        <v>0.5</v>
      </c>
      <c r="M423" s="293">
        <v>274</v>
      </c>
      <c r="N423" s="280" t="e">
        <f t="shared" si="79"/>
        <v>#REF!</v>
      </c>
      <c r="O423" s="139"/>
    </row>
    <row r="424" spans="1:15" s="136" customFormat="1" ht="14.25" x14ac:dyDescent="0.25">
      <c r="A424" s="194" t="s">
        <v>280</v>
      </c>
      <c r="B424" s="194" t="e">
        <f>IF(#REF!=A424,1,0)</f>
        <v>#REF!</v>
      </c>
      <c r="C424" s="194"/>
      <c r="D424" s="195">
        <v>20</v>
      </c>
      <c r="E424" s="196">
        <v>0.20899999999999999</v>
      </c>
      <c r="F424" s="196" t="e">
        <f t="shared" si="76"/>
        <v>#REF!</v>
      </c>
      <c r="G424" s="196">
        <v>0.89</v>
      </c>
      <c r="H424" s="196" t="e">
        <f t="shared" si="77"/>
        <v>#REF!</v>
      </c>
      <c r="I424" s="195">
        <v>56</v>
      </c>
      <c r="J424" s="195" t="e">
        <f t="shared" si="78"/>
        <v>#REF!</v>
      </c>
      <c r="K424" s="195"/>
      <c r="L424" s="263">
        <v>0.56000000000000005</v>
      </c>
      <c r="M424" s="293">
        <v>283</v>
      </c>
      <c r="N424" s="280" t="e">
        <f t="shared" si="79"/>
        <v>#REF!</v>
      </c>
      <c r="O424" s="139"/>
    </row>
    <row r="425" spans="1:15" s="136" customFormat="1" ht="14.25" x14ac:dyDescent="0.25">
      <c r="A425" s="194" t="s">
        <v>199</v>
      </c>
      <c r="B425" s="194" t="e">
        <f>IF(#REF!=A425,1,0)</f>
        <v>#REF!</v>
      </c>
      <c r="C425" s="194"/>
      <c r="D425" s="195">
        <v>59</v>
      </c>
      <c r="E425" s="196">
        <v>0.24299999999999999</v>
      </c>
      <c r="F425" s="196" t="e">
        <f t="shared" si="76"/>
        <v>#REF!</v>
      </c>
      <c r="G425" s="196">
        <v>0.95200000000000007</v>
      </c>
      <c r="H425" s="196" t="e">
        <f t="shared" si="77"/>
        <v>#REF!</v>
      </c>
      <c r="I425" s="195">
        <v>642</v>
      </c>
      <c r="J425" s="195" t="e">
        <f t="shared" si="78"/>
        <v>#REF!</v>
      </c>
      <c r="K425" s="195"/>
      <c r="L425" s="263">
        <v>0.54</v>
      </c>
      <c r="M425" s="293">
        <v>347</v>
      </c>
      <c r="N425" s="280" t="e">
        <f t="shared" si="79"/>
        <v>#REF!</v>
      </c>
      <c r="O425" s="139"/>
    </row>
    <row r="426" spans="1:15" s="136" customFormat="1" ht="14.25" x14ac:dyDescent="0.25">
      <c r="A426" s="194" t="s">
        <v>161</v>
      </c>
      <c r="B426" s="194" t="e">
        <f>IF(#REF!=A426,1,0)</f>
        <v>#REF!</v>
      </c>
      <c r="C426" s="194"/>
      <c r="D426" s="195">
        <v>195</v>
      </c>
      <c r="E426" s="202">
        <v>0.35099999999999998</v>
      </c>
      <c r="F426" s="202" t="e">
        <f t="shared" si="76"/>
        <v>#REF!</v>
      </c>
      <c r="G426" s="202">
        <v>0.96499999999999997</v>
      </c>
      <c r="H426" s="202" t="e">
        <f t="shared" si="77"/>
        <v>#REF!</v>
      </c>
      <c r="I426" s="201">
        <v>658</v>
      </c>
      <c r="J426" s="201" t="e">
        <f t="shared" si="78"/>
        <v>#REF!</v>
      </c>
      <c r="K426" s="201"/>
      <c r="L426" s="265">
        <v>0.54300000000000004</v>
      </c>
      <c r="M426" s="295"/>
      <c r="N426" s="282" t="e">
        <f t="shared" si="79"/>
        <v>#REF!</v>
      </c>
      <c r="O426" s="139" t="s">
        <v>294</v>
      </c>
    </row>
    <row r="427" spans="1:15" s="136" customFormat="1" ht="14.25" x14ac:dyDescent="0.25">
      <c r="A427" s="194" t="s">
        <v>200</v>
      </c>
      <c r="B427" s="194" t="e">
        <f>IF(#REF!=A427,1,0)</f>
        <v>#REF!</v>
      </c>
      <c r="C427" s="194"/>
      <c r="D427" s="195">
        <v>59</v>
      </c>
      <c r="E427" s="196">
        <v>0.40299999999999997</v>
      </c>
      <c r="F427" s="196" t="e">
        <f t="shared" si="76"/>
        <v>#REF!</v>
      </c>
      <c r="G427" s="196">
        <v>0.96099999999999997</v>
      </c>
      <c r="H427" s="196" t="e">
        <f t="shared" si="77"/>
        <v>#REF!</v>
      </c>
      <c r="I427" s="195">
        <v>627</v>
      </c>
      <c r="J427" s="195" t="e">
        <f t="shared" si="78"/>
        <v>#REF!</v>
      </c>
      <c r="K427" s="195"/>
      <c r="L427" s="263">
        <v>0.53</v>
      </c>
      <c r="M427" s="293">
        <v>332</v>
      </c>
      <c r="N427" s="280" t="e">
        <f t="shared" si="79"/>
        <v>#REF!</v>
      </c>
      <c r="O427" s="139"/>
    </row>
    <row r="428" spans="1:15" s="136" customFormat="1" ht="14.25" x14ac:dyDescent="0.25">
      <c r="A428" s="194" t="s">
        <v>201</v>
      </c>
      <c r="B428" s="194" t="e">
        <f>IF(#REF!=A428,1,0)</f>
        <v>#REF!</v>
      </c>
      <c r="C428" s="194"/>
      <c r="D428" s="195">
        <v>6</v>
      </c>
      <c r="E428" s="196">
        <v>0.53400000000000003</v>
      </c>
      <c r="F428" s="196" t="e">
        <f t="shared" si="76"/>
        <v>#REF!</v>
      </c>
      <c r="G428" s="196">
        <v>0.97799999999999998</v>
      </c>
      <c r="H428" s="196" t="e">
        <f t="shared" si="77"/>
        <v>#REF!</v>
      </c>
      <c r="I428" s="195">
        <v>720</v>
      </c>
      <c r="J428" s="195" t="e">
        <f t="shared" si="78"/>
        <v>#REF!</v>
      </c>
      <c r="K428" s="195"/>
      <c r="L428" s="263">
        <v>0.54</v>
      </c>
      <c r="M428" s="293">
        <v>387</v>
      </c>
      <c r="N428" s="280" t="e">
        <f t="shared" si="79"/>
        <v>#REF!</v>
      </c>
      <c r="O428" s="139"/>
    </row>
    <row r="429" spans="1:15" s="136" customFormat="1" ht="14.25" x14ac:dyDescent="0.25">
      <c r="A429" s="194" t="s">
        <v>202</v>
      </c>
      <c r="B429" s="194" t="e">
        <f>IF(#REF!=A429,1,0)</f>
        <v>#REF!</v>
      </c>
      <c r="C429" s="194"/>
      <c r="D429" s="195">
        <v>3</v>
      </c>
      <c r="E429" s="196">
        <v>0.79900000000000004</v>
      </c>
      <c r="F429" s="196" t="e">
        <f t="shared" si="76"/>
        <v>#REF!</v>
      </c>
      <c r="G429" s="196">
        <v>0.94799999999999995</v>
      </c>
      <c r="H429" s="196" t="e">
        <f t="shared" si="77"/>
        <v>#REF!</v>
      </c>
      <c r="I429" s="195">
        <v>764</v>
      </c>
      <c r="J429" s="195" t="e">
        <f t="shared" si="78"/>
        <v>#REF!</v>
      </c>
      <c r="K429" s="195"/>
      <c r="L429" s="263">
        <v>0.51</v>
      </c>
      <c r="M429" s="293">
        <v>385</v>
      </c>
      <c r="N429" s="280" t="e">
        <f t="shared" si="79"/>
        <v>#REF!</v>
      </c>
      <c r="O429" s="139"/>
    </row>
    <row r="430" spans="1:15" s="136" customFormat="1" ht="14.25" x14ac:dyDescent="0.25">
      <c r="A430" s="194" t="s">
        <v>281</v>
      </c>
      <c r="B430" s="194" t="e">
        <f>IF(#REF!=A430,1,0)</f>
        <v>#REF!</v>
      </c>
      <c r="C430" s="194"/>
      <c r="D430" s="195">
        <v>20</v>
      </c>
      <c r="E430" s="196">
        <v>0.26600000000000001</v>
      </c>
      <c r="F430" s="196" t="e">
        <f t="shared" si="76"/>
        <v>#REF!</v>
      </c>
      <c r="G430" s="196">
        <v>0.93299999999999994</v>
      </c>
      <c r="H430" s="196" t="e">
        <f t="shared" si="77"/>
        <v>#REF!</v>
      </c>
      <c r="I430" s="195">
        <v>577</v>
      </c>
      <c r="J430" s="195" t="e">
        <f t="shared" si="78"/>
        <v>#REF!</v>
      </c>
      <c r="K430" s="195"/>
      <c r="L430" s="263">
        <v>0.54</v>
      </c>
      <c r="M430" s="293">
        <v>312</v>
      </c>
      <c r="N430" s="280" t="e">
        <f t="shared" si="79"/>
        <v>#REF!</v>
      </c>
      <c r="O430" s="139"/>
    </row>
    <row r="431" spans="1:15" s="136" customFormat="1" ht="14.25" x14ac:dyDescent="0.25">
      <c r="A431" s="194" t="s">
        <v>160</v>
      </c>
      <c r="B431" s="194" t="e">
        <f>IF(#REF!=A431,1,0)</f>
        <v>#REF!</v>
      </c>
      <c r="C431" s="194"/>
      <c r="D431" s="195">
        <v>50</v>
      </c>
      <c r="E431" s="196">
        <v>0.25700000000000001</v>
      </c>
      <c r="F431" s="196" t="e">
        <f t="shared" si="76"/>
        <v>#REF!</v>
      </c>
      <c r="G431" s="196">
        <v>0.92900000000000005</v>
      </c>
      <c r="H431" s="196" t="e">
        <f t="shared" si="77"/>
        <v>#REF!</v>
      </c>
      <c r="I431" s="195">
        <v>608</v>
      </c>
      <c r="J431" s="195" t="e">
        <f t="shared" si="78"/>
        <v>#REF!</v>
      </c>
      <c r="K431" s="195"/>
      <c r="L431" s="263">
        <v>0.56000000000000005</v>
      </c>
      <c r="M431" s="293">
        <v>336</v>
      </c>
      <c r="N431" s="280" t="e">
        <f t="shared" si="79"/>
        <v>#REF!</v>
      </c>
      <c r="O431" s="139"/>
    </row>
    <row r="432" spans="1:15" s="136" customFormat="1" ht="14.25" x14ac:dyDescent="0.25">
      <c r="A432" s="194" t="s">
        <v>282</v>
      </c>
      <c r="B432" s="194" t="e">
        <f>IF(#REF!=A432,1,0)</f>
        <v>#REF!</v>
      </c>
      <c r="C432" s="194"/>
      <c r="D432" s="195">
        <v>17</v>
      </c>
      <c r="E432" s="196">
        <v>0.27300000000000002</v>
      </c>
      <c r="F432" s="196" t="e">
        <f t="shared" si="76"/>
        <v>#REF!</v>
      </c>
      <c r="G432" s="196">
        <v>0.93900000000000006</v>
      </c>
      <c r="H432" s="196" t="e">
        <f t="shared" si="77"/>
        <v>#REF!</v>
      </c>
      <c r="I432" s="195">
        <v>541</v>
      </c>
      <c r="J432" s="195" t="e">
        <f t="shared" si="78"/>
        <v>#REF!</v>
      </c>
      <c r="K432" s="195"/>
      <c r="L432" s="263">
        <v>0.56000000000000005</v>
      </c>
      <c r="M432" s="293">
        <v>298</v>
      </c>
      <c r="N432" s="280" t="e">
        <f t="shared" si="79"/>
        <v>#REF!</v>
      </c>
      <c r="O432" s="139"/>
    </row>
    <row r="433" spans="1:15" s="136" customFormat="1" ht="14.25" x14ac:dyDescent="0.25">
      <c r="A433" s="194" t="s">
        <v>283</v>
      </c>
      <c r="B433" s="194" t="e">
        <f>IF(#REF!=A433,1,0)</f>
        <v>#REF!</v>
      </c>
      <c r="C433" s="194"/>
      <c r="D433" s="195">
        <v>4</v>
      </c>
      <c r="E433" s="196">
        <v>0.29199999999999998</v>
      </c>
      <c r="F433" s="196" t="e">
        <f t="shared" si="76"/>
        <v>#REF!</v>
      </c>
      <c r="G433" s="196">
        <v>0.93500000000000005</v>
      </c>
      <c r="H433" s="196" t="e">
        <f t="shared" si="77"/>
        <v>#REF!</v>
      </c>
      <c r="I433" s="195">
        <v>609</v>
      </c>
      <c r="J433" s="195" t="e">
        <f t="shared" si="78"/>
        <v>#REF!</v>
      </c>
      <c r="K433" s="195"/>
      <c r="L433" s="263">
        <v>0.56999999999999995</v>
      </c>
      <c r="M433" s="293">
        <v>348</v>
      </c>
      <c r="N433" s="280" t="e">
        <f t="shared" si="79"/>
        <v>#REF!</v>
      </c>
      <c r="O433" s="139"/>
    </row>
    <row r="434" spans="1:15" s="136" customFormat="1" ht="14.25" x14ac:dyDescent="0.25">
      <c r="A434" s="194" t="s">
        <v>163</v>
      </c>
      <c r="B434" s="194" t="e">
        <f>IF(#REF!=A434,1,0)</f>
        <v>#REF!</v>
      </c>
      <c r="C434" s="194"/>
      <c r="D434" s="195">
        <v>222</v>
      </c>
      <c r="E434" s="202">
        <v>0.32800000000000001</v>
      </c>
      <c r="F434" s="202" t="e">
        <f>IF(B434=1,E434,0)</f>
        <v>#REF!</v>
      </c>
      <c r="G434" s="202">
        <v>0.93700000000000006</v>
      </c>
      <c r="H434" s="202" t="e">
        <f>IF(B434=1,G434,0)</f>
        <v>#REF!</v>
      </c>
      <c r="I434" s="201">
        <v>624</v>
      </c>
      <c r="J434" s="201" t="e">
        <f>IF(B434=1,I434,0)</f>
        <v>#REF!</v>
      </c>
      <c r="K434" s="201"/>
      <c r="L434" s="265">
        <v>0.56000000000000005</v>
      </c>
      <c r="M434" s="301"/>
      <c r="N434" s="282" t="e">
        <f t="shared" si="79"/>
        <v>#REF!</v>
      </c>
      <c r="O434" s="139" t="s">
        <v>294</v>
      </c>
    </row>
    <row r="435" spans="1:15" s="136" customFormat="1" thickBot="1" x14ac:dyDescent="0.3">
      <c r="A435" s="194" t="s">
        <v>204</v>
      </c>
      <c r="B435" s="194" t="e">
        <f>IF(#REF!=A435,1,0)</f>
        <v>#REF!</v>
      </c>
      <c r="C435" s="194"/>
      <c r="D435" s="195">
        <v>10</v>
      </c>
      <c r="E435" s="217">
        <v>0.88</v>
      </c>
      <c r="F435" s="217" t="e">
        <f t="shared" ref="F435" si="80">IF(B435=1,E435,0)</f>
        <v>#REF!</v>
      </c>
      <c r="G435" s="217">
        <v>0.97799999999999998</v>
      </c>
      <c r="H435" s="217" t="e">
        <f t="shared" ref="H435" si="81">IF(B435=1,G435,0)</f>
        <v>#REF!</v>
      </c>
      <c r="I435" s="216">
        <v>670</v>
      </c>
      <c r="J435" s="216" t="e">
        <f t="shared" ref="J435" si="82">IF(B435=1,I435,0)</f>
        <v>#REF!</v>
      </c>
      <c r="K435" s="216"/>
      <c r="L435" s="271">
        <v>0.52</v>
      </c>
      <c r="M435" s="295"/>
      <c r="N435" s="286" t="e">
        <f t="shared" si="79"/>
        <v>#REF!</v>
      </c>
      <c r="O435" s="139" t="s">
        <v>294</v>
      </c>
    </row>
    <row r="436" spans="1:15" s="136" customFormat="1" ht="14.25" x14ac:dyDescent="0.25">
      <c r="A436" s="194" t="s">
        <v>21</v>
      </c>
      <c r="B436" s="194" t="e">
        <f>IF(#REF!=A436,1,0)</f>
        <v>#REF!</v>
      </c>
      <c r="C436" s="194"/>
      <c r="D436" s="195">
        <v>17</v>
      </c>
      <c r="E436" s="196">
        <v>0.92799999999999994</v>
      </c>
      <c r="F436" s="196" t="e">
        <f t="shared" si="76"/>
        <v>#REF!</v>
      </c>
      <c r="G436" s="196">
        <v>0.91599999999999993</v>
      </c>
      <c r="H436" s="196" t="e">
        <f t="shared" si="77"/>
        <v>#REF!</v>
      </c>
      <c r="I436" s="195">
        <v>558</v>
      </c>
      <c r="J436" s="195" t="e">
        <f t="shared" si="78"/>
        <v>#REF!</v>
      </c>
      <c r="K436" s="195">
        <v>474.32678399999992</v>
      </c>
      <c r="L436" s="263">
        <v>0.52</v>
      </c>
      <c r="M436" s="293">
        <v>292</v>
      </c>
      <c r="N436" s="280" t="e">
        <f t="shared" si="79"/>
        <v>#REF!</v>
      </c>
      <c r="O436" s="139"/>
    </row>
    <row r="437" spans="1:15" s="136" customFormat="1" ht="14.25" x14ac:dyDescent="0.25">
      <c r="A437" s="194" t="s">
        <v>284</v>
      </c>
      <c r="B437" s="194" t="e">
        <f>IF(#REF!=A437,1,0)</f>
        <v>#REF!</v>
      </c>
      <c r="C437" s="194"/>
      <c r="D437" s="195">
        <v>7</v>
      </c>
      <c r="E437" s="196">
        <v>0.312</v>
      </c>
      <c r="F437" s="196" t="e">
        <f t="shared" si="76"/>
        <v>#REF!</v>
      </c>
      <c r="G437" s="196">
        <v>0.92200000000000004</v>
      </c>
      <c r="H437" s="196" t="e">
        <f t="shared" si="77"/>
        <v>#REF!</v>
      </c>
      <c r="I437" s="195">
        <v>543</v>
      </c>
      <c r="J437" s="195" t="e">
        <f t="shared" si="78"/>
        <v>#REF!</v>
      </c>
      <c r="K437" s="195">
        <v>156.20155199999999</v>
      </c>
      <c r="L437" s="263">
        <v>0.62</v>
      </c>
      <c r="M437" s="293">
        <v>335</v>
      </c>
      <c r="N437" s="280" t="e">
        <f t="shared" si="79"/>
        <v>#REF!</v>
      </c>
      <c r="O437" s="139"/>
    </row>
    <row r="438" spans="1:15" s="136" customFormat="1" ht="14.25" x14ac:dyDescent="0.25">
      <c r="A438" s="194" t="s">
        <v>285</v>
      </c>
      <c r="B438" s="194" t="e">
        <f>IF(#REF!=A438,1,0)</f>
        <v>#REF!</v>
      </c>
      <c r="C438" s="194"/>
      <c r="D438" s="195">
        <v>76</v>
      </c>
      <c r="E438" s="196">
        <v>0.20899999999999999</v>
      </c>
      <c r="F438" s="196" t="e">
        <f t="shared" si="76"/>
        <v>#REF!</v>
      </c>
      <c r="G438" s="196">
        <v>0.88700000000000001</v>
      </c>
      <c r="H438" s="196" t="e">
        <f t="shared" si="77"/>
        <v>#REF!</v>
      </c>
      <c r="I438" s="195">
        <v>517</v>
      </c>
      <c r="J438" s="195" t="e">
        <f t="shared" si="78"/>
        <v>#REF!</v>
      </c>
      <c r="K438" s="195"/>
      <c r="L438" s="263">
        <v>0.56999999999999995</v>
      </c>
      <c r="M438" s="293">
        <v>294</v>
      </c>
      <c r="N438" s="280" t="e">
        <f t="shared" si="79"/>
        <v>#REF!</v>
      </c>
      <c r="O438" s="139"/>
    </row>
    <row r="439" spans="1:15" s="136" customFormat="1" ht="14.25" x14ac:dyDescent="0.25">
      <c r="A439" s="194" t="s">
        <v>286</v>
      </c>
      <c r="B439" s="194" t="e">
        <f>IF(#REF!=A439,1,0)</f>
        <v>#REF!</v>
      </c>
      <c r="C439" s="194"/>
      <c r="D439" s="195">
        <v>46</v>
      </c>
      <c r="E439" s="196">
        <v>0.16300000000000001</v>
      </c>
      <c r="F439" s="196" t="e">
        <f t="shared" si="76"/>
        <v>#REF!</v>
      </c>
      <c r="G439" s="196">
        <v>0.91799999999999993</v>
      </c>
      <c r="H439" s="196" t="e">
        <f t="shared" si="77"/>
        <v>#REF!</v>
      </c>
      <c r="I439" s="195">
        <v>572</v>
      </c>
      <c r="J439" s="195" t="e">
        <f t="shared" si="78"/>
        <v>#REF!</v>
      </c>
      <c r="K439" s="195">
        <v>85.590648000000002</v>
      </c>
      <c r="L439" s="263">
        <v>0.54</v>
      </c>
      <c r="M439" s="293">
        <v>306</v>
      </c>
      <c r="N439" s="280" t="e">
        <f t="shared" si="79"/>
        <v>#REF!</v>
      </c>
      <c r="O439" s="139"/>
    </row>
    <row r="440" spans="1:15" s="136" customFormat="1" ht="14.25" x14ac:dyDescent="0.25">
      <c r="A440" s="194" t="s">
        <v>287</v>
      </c>
      <c r="B440" s="194" t="e">
        <f>IF(#REF!=A440,1,0)</f>
        <v>#REF!</v>
      </c>
      <c r="C440" s="194"/>
      <c r="D440" s="195">
        <v>5</v>
      </c>
      <c r="E440" s="196">
        <v>9.3000000000000013E-2</v>
      </c>
      <c r="F440" s="196" t="e">
        <f t="shared" si="76"/>
        <v>#REF!</v>
      </c>
      <c r="G440" s="196">
        <v>0.80099999999999993</v>
      </c>
      <c r="H440" s="196" t="e">
        <f t="shared" si="77"/>
        <v>#REF!</v>
      </c>
      <c r="I440" s="195">
        <v>509</v>
      </c>
      <c r="J440" s="195" t="e">
        <f t="shared" si="78"/>
        <v>#REF!</v>
      </c>
      <c r="K440" s="195">
        <v>37.916936999999997</v>
      </c>
      <c r="L440" s="263">
        <v>0.6</v>
      </c>
      <c r="M440" s="293">
        <v>305</v>
      </c>
      <c r="N440" s="280" t="e">
        <f t="shared" si="79"/>
        <v>#REF!</v>
      </c>
      <c r="O440" s="139"/>
    </row>
    <row r="441" spans="1:15" s="136" customFormat="1" ht="14.25" x14ac:dyDescent="0.25">
      <c r="A441" s="194" t="s">
        <v>288</v>
      </c>
      <c r="B441" s="194" t="e">
        <f>IF(#REF!=A441,1,0)</f>
        <v>#REF!</v>
      </c>
      <c r="C441" s="194"/>
      <c r="D441" s="195">
        <v>8</v>
      </c>
      <c r="E441" s="196">
        <v>0.09</v>
      </c>
      <c r="F441" s="196" t="e">
        <f t="shared" si="76"/>
        <v>#REF!</v>
      </c>
      <c r="G441" s="196">
        <v>0.86299999999999999</v>
      </c>
      <c r="H441" s="196" t="e">
        <f t="shared" si="77"/>
        <v>#REF!</v>
      </c>
      <c r="I441" s="195">
        <v>606</v>
      </c>
      <c r="J441" s="195" t="e">
        <f t="shared" si="78"/>
        <v>#REF!</v>
      </c>
      <c r="K441" s="195">
        <v>47.068019999999997</v>
      </c>
      <c r="L441" s="263">
        <v>0.65</v>
      </c>
      <c r="M441" s="293">
        <v>390</v>
      </c>
      <c r="N441" s="280" t="e">
        <f t="shared" si="79"/>
        <v>#REF!</v>
      </c>
      <c r="O441" s="139"/>
    </row>
    <row r="442" spans="1:15" s="136" customFormat="1" ht="14.25" x14ac:dyDescent="0.25">
      <c r="A442" s="194" t="s">
        <v>289</v>
      </c>
      <c r="B442" s="194" t="e">
        <f>IF(#REF!=A442,1,0)</f>
        <v>#REF!</v>
      </c>
      <c r="C442" s="194"/>
      <c r="D442" s="195">
        <v>2</v>
      </c>
      <c r="E442" s="196">
        <v>0.13400000000000001</v>
      </c>
      <c r="F442" s="196" t="e">
        <f t="shared" si="76"/>
        <v>#REF!</v>
      </c>
      <c r="G442" s="196">
        <v>0.875</v>
      </c>
      <c r="H442" s="196" t="e">
        <f t="shared" si="77"/>
        <v>#REF!</v>
      </c>
      <c r="I442" s="195">
        <v>531</v>
      </c>
      <c r="J442" s="195" t="e">
        <f t="shared" si="78"/>
        <v>#REF!</v>
      </c>
      <c r="K442" s="195">
        <v>62.259750000000004</v>
      </c>
      <c r="L442" s="263">
        <v>0.6</v>
      </c>
      <c r="M442" s="293">
        <v>318</v>
      </c>
      <c r="N442" s="280" t="e">
        <f t="shared" si="79"/>
        <v>#REF!</v>
      </c>
      <c r="O442" s="139"/>
    </row>
    <row r="443" spans="1:15" s="136" customFormat="1" ht="14.25" x14ac:dyDescent="0.25">
      <c r="A443" s="139" t="s">
        <v>156</v>
      </c>
      <c r="B443" s="139"/>
      <c r="C443" s="139"/>
      <c r="D443" s="139"/>
      <c r="E443" s="139"/>
      <c r="F443" s="235" t="e">
        <f>SUM(F413:F442)</f>
        <v>#REF!</v>
      </c>
      <c r="G443" s="139"/>
      <c r="H443" s="235" t="e">
        <f>SUM(H413:H442)</f>
        <v>#REF!</v>
      </c>
      <c r="I443" s="139"/>
      <c r="J443" s="236" t="e">
        <f>SUM(J413:J442)</f>
        <v>#REF!</v>
      </c>
      <c r="K443" s="139"/>
      <c r="L443" s="139"/>
      <c r="M443" s="303"/>
      <c r="N443" s="235" t="e">
        <f>SUM(N413:N442)</f>
        <v>#REF!</v>
      </c>
      <c r="O443" s="139"/>
    </row>
    <row r="444" spans="1:15" s="136" customFormat="1" ht="14.25" x14ac:dyDescent="0.25">
      <c r="A444" s="139"/>
      <c r="B444" s="139"/>
      <c r="C444" s="139"/>
      <c r="D444" s="139"/>
      <c r="E444" s="139"/>
      <c r="F444" s="139"/>
      <c r="G444" s="139"/>
      <c r="H444" s="139"/>
      <c r="I444" s="139"/>
      <c r="J444" s="139"/>
      <c r="K444" s="139"/>
      <c r="L444" s="139"/>
      <c r="M444" s="303"/>
      <c r="N444" s="139"/>
      <c r="O444" s="139"/>
    </row>
    <row r="445" spans="1:15" s="136" customFormat="1" ht="41.25" x14ac:dyDescent="0.3">
      <c r="A445" s="193" t="s">
        <v>34</v>
      </c>
      <c r="B445" s="193"/>
      <c r="C445" s="193"/>
      <c r="D445" s="193" t="s">
        <v>186</v>
      </c>
      <c r="E445" s="193" t="s">
        <v>187</v>
      </c>
      <c r="F445" s="193"/>
      <c r="G445" s="193" t="s">
        <v>188</v>
      </c>
      <c r="H445" s="193"/>
      <c r="I445" s="193" t="s">
        <v>189</v>
      </c>
      <c r="J445" s="193"/>
      <c r="K445" s="193" t="s">
        <v>295</v>
      </c>
      <c r="L445" s="262" t="s">
        <v>191</v>
      </c>
      <c r="M445" s="292" t="s">
        <v>292</v>
      </c>
      <c r="N445" s="139"/>
      <c r="O445" s="139"/>
    </row>
    <row r="446" spans="1:15" s="136" customFormat="1" ht="14.25" x14ac:dyDescent="0.25">
      <c r="A446" s="194" t="s">
        <v>302</v>
      </c>
      <c r="B446" s="194" t="e">
        <f>IF(#REF!=A446,1,0)</f>
        <v>#REF!</v>
      </c>
      <c r="C446" s="194"/>
      <c r="D446" s="195"/>
      <c r="E446" s="196">
        <v>0</v>
      </c>
      <c r="F446" s="196" t="e">
        <f t="shared" ref="F446:F475" si="83">IF(B446=1,E446,0)</f>
        <v>#REF!</v>
      </c>
      <c r="G446" s="196">
        <v>0</v>
      </c>
      <c r="H446" s="196" t="e">
        <f t="shared" ref="H446:H475" si="84">IF(B446=1,G446,0)</f>
        <v>#REF!</v>
      </c>
      <c r="I446" s="195">
        <v>0</v>
      </c>
      <c r="J446" s="195" t="e">
        <f t="shared" ref="J446:J475" si="85">IF(B446=1,I446,0)</f>
        <v>#REF!</v>
      </c>
      <c r="K446" s="195">
        <v>0</v>
      </c>
      <c r="L446" s="263">
        <v>0</v>
      </c>
      <c r="M446" s="293">
        <v>0</v>
      </c>
      <c r="N446" s="280" t="e">
        <f t="shared" ref="N446:N475" si="86">IF(B446=1,L446,0)</f>
        <v>#REF!</v>
      </c>
      <c r="O446" s="139"/>
    </row>
    <row r="447" spans="1:15" s="136" customFormat="1" ht="14.25" x14ac:dyDescent="0.25">
      <c r="A447" s="194" t="s">
        <v>32</v>
      </c>
      <c r="B447" s="194" t="e">
        <f>IF(#REF!=A447,1,0)</f>
        <v>#REF!</v>
      </c>
      <c r="C447" s="194"/>
      <c r="D447" s="195">
        <v>5</v>
      </c>
      <c r="E447" s="196">
        <v>0.54799999999999993</v>
      </c>
      <c r="F447" s="196" t="e">
        <f t="shared" si="83"/>
        <v>#REF!</v>
      </c>
      <c r="G447" s="196">
        <v>0.78599999999999992</v>
      </c>
      <c r="H447" s="196" t="e">
        <f t="shared" si="84"/>
        <v>#REF!</v>
      </c>
      <c r="I447" s="195">
        <v>531</v>
      </c>
      <c r="J447" s="195" t="e">
        <f t="shared" si="85"/>
        <v>#REF!</v>
      </c>
      <c r="K447" s="195"/>
      <c r="L447" s="263">
        <v>0.61</v>
      </c>
      <c r="M447" s="293">
        <v>325</v>
      </c>
      <c r="N447" s="280" t="e">
        <f t="shared" si="86"/>
        <v>#REF!</v>
      </c>
      <c r="O447" s="139"/>
    </row>
    <row r="448" spans="1:15" s="136" customFormat="1" ht="14.25" x14ac:dyDescent="0.25">
      <c r="A448" s="194" t="s">
        <v>158</v>
      </c>
      <c r="B448" s="194" t="e">
        <f>IF(#REF!=A448,1,0)</f>
        <v>#REF!</v>
      </c>
      <c r="C448" s="194"/>
      <c r="D448" s="195">
        <v>11</v>
      </c>
      <c r="E448" s="202">
        <v>0.22900000000000001</v>
      </c>
      <c r="F448" s="202" t="e">
        <f t="shared" si="83"/>
        <v>#REF!</v>
      </c>
      <c r="G448" s="202">
        <v>0.82199999999999995</v>
      </c>
      <c r="H448" s="202" t="e">
        <f t="shared" si="84"/>
        <v>#REF!</v>
      </c>
      <c r="I448" s="201">
        <v>350</v>
      </c>
      <c r="J448" s="201" t="e">
        <f t="shared" si="85"/>
        <v>#REF!</v>
      </c>
      <c r="K448" s="201"/>
      <c r="L448" s="265">
        <v>0.57999999999999996</v>
      </c>
      <c r="M448" s="295"/>
      <c r="N448" s="282" t="e">
        <f t="shared" si="86"/>
        <v>#REF!</v>
      </c>
      <c r="O448" s="139" t="s">
        <v>294</v>
      </c>
    </row>
    <row r="449" spans="1:15" s="136" customFormat="1" ht="14.25" x14ac:dyDescent="0.25">
      <c r="A449" s="194" t="s">
        <v>25</v>
      </c>
      <c r="B449" s="194" t="e">
        <f>IF(#REF!=A449,1,0)</f>
        <v>#REF!</v>
      </c>
      <c r="C449" s="194"/>
      <c r="D449" s="195">
        <v>24</v>
      </c>
      <c r="E449" s="202">
        <v>8.8999999999999996E-2</v>
      </c>
      <c r="F449" s="202" t="e">
        <f t="shared" si="83"/>
        <v>#REF!</v>
      </c>
      <c r="G449" s="202">
        <v>0.78900000000000003</v>
      </c>
      <c r="H449" s="202" t="e">
        <f t="shared" si="84"/>
        <v>#REF!</v>
      </c>
      <c r="I449" s="201">
        <v>384</v>
      </c>
      <c r="J449" s="201" t="e">
        <f t="shared" si="85"/>
        <v>#REF!</v>
      </c>
      <c r="K449" s="201"/>
      <c r="L449" s="265">
        <v>0.59899999999999998</v>
      </c>
      <c r="M449" s="295"/>
      <c r="N449" s="282" t="e">
        <f t="shared" si="86"/>
        <v>#REF!</v>
      </c>
      <c r="O449" s="139" t="s">
        <v>294</v>
      </c>
    </row>
    <row r="450" spans="1:15" s="136" customFormat="1" ht="14.25" x14ac:dyDescent="0.25">
      <c r="A450" s="194" t="s">
        <v>196</v>
      </c>
      <c r="B450" s="194" t="e">
        <f>IF(#REF!=A450,1,0)</f>
        <v>#REF!</v>
      </c>
      <c r="C450" s="194"/>
      <c r="D450" s="195">
        <v>34</v>
      </c>
      <c r="E450" s="196">
        <v>0.05</v>
      </c>
      <c r="F450" s="196" t="e">
        <f t="shared" si="83"/>
        <v>#REF!</v>
      </c>
      <c r="G450" s="196">
        <v>0.72599999999999998</v>
      </c>
      <c r="H450" s="196" t="e">
        <f t="shared" si="84"/>
        <v>#REF!</v>
      </c>
      <c r="I450" s="195">
        <v>372</v>
      </c>
      <c r="J450" s="195" t="e">
        <f t="shared" si="85"/>
        <v>#REF!</v>
      </c>
      <c r="K450" s="195"/>
      <c r="L450" s="263" t="s">
        <v>197</v>
      </c>
      <c r="M450" s="293" t="s">
        <v>197</v>
      </c>
      <c r="N450" s="280" t="e">
        <f t="shared" si="86"/>
        <v>#REF!</v>
      </c>
      <c r="O450" s="139"/>
    </row>
    <row r="451" spans="1:15" s="136" customFormat="1" thickBot="1" x14ac:dyDescent="0.3">
      <c r="A451" s="210" t="s">
        <v>159</v>
      </c>
      <c r="B451" s="210" t="e">
        <f>IF(#REF!=A451,1,0)</f>
        <v>#REF!</v>
      </c>
      <c r="C451" s="210"/>
      <c r="D451" s="211">
        <v>6</v>
      </c>
      <c r="E451" s="212">
        <v>0.27200000000000002</v>
      </c>
      <c r="F451" s="212" t="e">
        <f t="shared" si="83"/>
        <v>#REF!</v>
      </c>
      <c r="G451" s="212">
        <v>0.84200000000000008</v>
      </c>
      <c r="H451" s="212" t="e">
        <f t="shared" si="84"/>
        <v>#REF!</v>
      </c>
      <c r="I451" s="211">
        <v>491</v>
      </c>
      <c r="J451" s="211" t="e">
        <f t="shared" si="85"/>
        <v>#REF!</v>
      </c>
      <c r="K451" s="211"/>
      <c r="L451" s="269">
        <v>0.52</v>
      </c>
      <c r="M451" s="293">
        <v>253</v>
      </c>
      <c r="N451" s="280" t="e">
        <f t="shared" si="86"/>
        <v>#REF!</v>
      </c>
      <c r="O451" s="139"/>
    </row>
    <row r="452" spans="1:15" s="136" customFormat="1" ht="14.25" x14ac:dyDescent="0.25">
      <c r="A452" s="225" t="s">
        <v>276</v>
      </c>
      <c r="B452" s="225" t="e">
        <f>IF(#REF!=A452,1,0)</f>
        <v>#REF!</v>
      </c>
      <c r="C452" s="225"/>
      <c r="D452" s="237">
        <v>51</v>
      </c>
      <c r="E452" s="220">
        <v>0.22399999999999998</v>
      </c>
      <c r="F452" s="220" t="e">
        <f t="shared" si="83"/>
        <v>#REF!</v>
      </c>
      <c r="G452" s="220">
        <v>0.90200000000000002</v>
      </c>
      <c r="H452" s="220" t="e">
        <f t="shared" si="84"/>
        <v>#REF!</v>
      </c>
      <c r="I452" s="213">
        <v>603</v>
      </c>
      <c r="J452" s="213" t="e">
        <f t="shared" si="85"/>
        <v>#REF!</v>
      </c>
      <c r="K452" s="213"/>
      <c r="L452" s="278">
        <v>0.5</v>
      </c>
      <c r="M452" s="293">
        <v>304</v>
      </c>
      <c r="N452" s="280" t="e">
        <f t="shared" si="86"/>
        <v>#REF!</v>
      </c>
      <c r="O452" s="139"/>
    </row>
    <row r="453" spans="1:15" s="136" customFormat="1" ht="14.25" x14ac:dyDescent="0.25">
      <c r="A453" s="194" t="s">
        <v>162</v>
      </c>
      <c r="B453" s="194" t="e">
        <f>IF(#REF!=A453,1,0)</f>
        <v>#REF!</v>
      </c>
      <c r="C453" s="194"/>
      <c r="D453" s="206">
        <v>45</v>
      </c>
      <c r="E453" s="202">
        <v>0.28199999999999997</v>
      </c>
      <c r="F453" s="202" t="e">
        <f t="shared" si="83"/>
        <v>#REF!</v>
      </c>
      <c r="G453" s="202">
        <v>0.89700000000000002</v>
      </c>
      <c r="H453" s="202" t="e">
        <f t="shared" si="84"/>
        <v>#REF!</v>
      </c>
      <c r="I453" s="231">
        <v>567</v>
      </c>
      <c r="J453" s="201" t="e">
        <f t="shared" si="85"/>
        <v>#REF!</v>
      </c>
      <c r="K453" s="201"/>
      <c r="L453" s="265">
        <v>0.55700000000000005</v>
      </c>
      <c r="M453" s="300"/>
      <c r="N453" s="282" t="e">
        <f t="shared" si="86"/>
        <v>#REF!</v>
      </c>
      <c r="O453" s="139" t="s">
        <v>294</v>
      </c>
    </row>
    <row r="454" spans="1:15" s="136" customFormat="1" ht="14.25" x14ac:dyDescent="0.25">
      <c r="A454" s="194" t="s">
        <v>277</v>
      </c>
      <c r="B454" s="194" t="e">
        <f>IF(#REF!=A454,1,0)</f>
        <v>#REF!</v>
      </c>
      <c r="C454" s="194"/>
      <c r="D454" s="206">
        <v>28</v>
      </c>
      <c r="E454" s="196">
        <v>0.52700000000000002</v>
      </c>
      <c r="F454" s="196" t="e">
        <f t="shared" si="83"/>
        <v>#REF!</v>
      </c>
      <c r="G454" s="196">
        <v>0.90500000000000003</v>
      </c>
      <c r="H454" s="196" t="e">
        <f t="shared" si="84"/>
        <v>#REF!</v>
      </c>
      <c r="I454" s="195">
        <v>571</v>
      </c>
      <c r="J454" s="195" t="e">
        <f t="shared" si="85"/>
        <v>#REF!</v>
      </c>
      <c r="K454" s="195"/>
      <c r="L454" s="263">
        <v>0.53</v>
      </c>
      <c r="M454" s="293">
        <v>306</v>
      </c>
      <c r="N454" s="280" t="e">
        <f t="shared" si="86"/>
        <v>#REF!</v>
      </c>
      <c r="O454" s="139"/>
    </row>
    <row r="455" spans="1:15" s="136" customFormat="1" ht="14.25" x14ac:dyDescent="0.25">
      <c r="A455" s="194" t="s">
        <v>278</v>
      </c>
      <c r="B455" s="194" t="e">
        <f>IF(#REF!=A455,1,0)</f>
        <v>#REF!</v>
      </c>
      <c r="C455" s="194"/>
      <c r="D455" s="206">
        <v>16</v>
      </c>
      <c r="E455" s="196">
        <v>0.182</v>
      </c>
      <c r="F455" s="196" t="e">
        <f t="shared" si="83"/>
        <v>#REF!</v>
      </c>
      <c r="G455" s="196">
        <v>0.90300000000000002</v>
      </c>
      <c r="H455" s="196" t="e">
        <f t="shared" si="84"/>
        <v>#REF!</v>
      </c>
      <c r="I455" s="195">
        <v>606</v>
      </c>
      <c r="J455" s="195" t="e">
        <f t="shared" si="85"/>
        <v>#REF!</v>
      </c>
      <c r="K455" s="195"/>
      <c r="L455" s="263">
        <v>0.6</v>
      </c>
      <c r="M455" s="293">
        <v>361</v>
      </c>
      <c r="N455" s="280" t="e">
        <f t="shared" si="86"/>
        <v>#REF!</v>
      </c>
      <c r="O455" s="139"/>
    </row>
    <row r="456" spans="1:15" s="136" customFormat="1" ht="14.25" x14ac:dyDescent="0.25">
      <c r="A456" s="194" t="s">
        <v>279</v>
      </c>
      <c r="B456" s="194" t="e">
        <f>IF(#REF!=A456,1,0)</f>
        <v>#REF!</v>
      </c>
      <c r="C456" s="194"/>
      <c r="D456" s="206">
        <v>14</v>
      </c>
      <c r="E456" s="196">
        <v>0.16399999999999998</v>
      </c>
      <c r="F456" s="196" t="e">
        <f t="shared" si="83"/>
        <v>#REF!</v>
      </c>
      <c r="G456" s="196">
        <v>0.89500000000000002</v>
      </c>
      <c r="H456" s="196" t="e">
        <f t="shared" si="84"/>
        <v>#REF!</v>
      </c>
      <c r="I456" s="195">
        <v>546</v>
      </c>
      <c r="J456" s="195" t="e">
        <f t="shared" si="85"/>
        <v>#REF!</v>
      </c>
      <c r="K456" s="195"/>
      <c r="L456" s="263">
        <v>0.5</v>
      </c>
      <c r="M456" s="293">
        <v>274</v>
      </c>
      <c r="N456" s="280" t="e">
        <f t="shared" si="86"/>
        <v>#REF!</v>
      </c>
      <c r="O456" s="139"/>
    </row>
    <row r="457" spans="1:15" s="136" customFormat="1" ht="14.25" x14ac:dyDescent="0.25">
      <c r="A457" s="194" t="s">
        <v>280</v>
      </c>
      <c r="B457" s="194" t="e">
        <f>IF(#REF!=A457,1,0)</f>
        <v>#REF!</v>
      </c>
      <c r="C457" s="194"/>
      <c r="D457" s="195">
        <v>20</v>
      </c>
      <c r="E457" s="196">
        <v>0.20899999999999999</v>
      </c>
      <c r="F457" s="196" t="e">
        <f t="shared" si="83"/>
        <v>#REF!</v>
      </c>
      <c r="G457" s="196">
        <v>0.89</v>
      </c>
      <c r="H457" s="196" t="e">
        <f t="shared" si="84"/>
        <v>#REF!</v>
      </c>
      <c r="I457" s="195">
        <v>56</v>
      </c>
      <c r="J457" s="195" t="e">
        <f t="shared" si="85"/>
        <v>#REF!</v>
      </c>
      <c r="K457" s="195"/>
      <c r="L457" s="263">
        <v>0.56000000000000005</v>
      </c>
      <c r="M457" s="293">
        <v>283</v>
      </c>
      <c r="N457" s="280" t="e">
        <f t="shared" si="86"/>
        <v>#REF!</v>
      </c>
      <c r="O457" s="139"/>
    </row>
    <row r="458" spans="1:15" s="136" customFormat="1" ht="14.25" x14ac:dyDescent="0.25">
      <c r="A458" s="194" t="s">
        <v>199</v>
      </c>
      <c r="B458" s="194" t="e">
        <f>IF(#REF!=A458,1,0)</f>
        <v>#REF!</v>
      </c>
      <c r="C458" s="194"/>
      <c r="D458" s="195">
        <v>59</v>
      </c>
      <c r="E458" s="196">
        <v>0.24299999999999999</v>
      </c>
      <c r="F458" s="196" t="e">
        <f t="shared" si="83"/>
        <v>#REF!</v>
      </c>
      <c r="G458" s="196">
        <v>0.95200000000000007</v>
      </c>
      <c r="H458" s="196" t="e">
        <f t="shared" si="84"/>
        <v>#REF!</v>
      </c>
      <c r="I458" s="195">
        <v>642</v>
      </c>
      <c r="J458" s="195" t="e">
        <f t="shared" si="85"/>
        <v>#REF!</v>
      </c>
      <c r="K458" s="195"/>
      <c r="L458" s="263">
        <v>0.54</v>
      </c>
      <c r="M458" s="293">
        <v>347</v>
      </c>
      <c r="N458" s="280" t="e">
        <f t="shared" si="86"/>
        <v>#REF!</v>
      </c>
      <c r="O458" s="139"/>
    </row>
    <row r="459" spans="1:15" s="136" customFormat="1" ht="14.25" x14ac:dyDescent="0.25">
      <c r="A459" s="194" t="s">
        <v>161</v>
      </c>
      <c r="B459" s="194" t="e">
        <f>IF(#REF!=A459,1,0)</f>
        <v>#REF!</v>
      </c>
      <c r="C459" s="194"/>
      <c r="D459" s="195">
        <v>195</v>
      </c>
      <c r="E459" s="202">
        <v>0.35099999999999998</v>
      </c>
      <c r="F459" s="202" t="e">
        <f t="shared" si="83"/>
        <v>#REF!</v>
      </c>
      <c r="G459" s="202">
        <v>0.96499999999999997</v>
      </c>
      <c r="H459" s="202" t="e">
        <f t="shared" si="84"/>
        <v>#REF!</v>
      </c>
      <c r="I459" s="201">
        <v>658</v>
      </c>
      <c r="J459" s="201" t="e">
        <f t="shared" si="85"/>
        <v>#REF!</v>
      </c>
      <c r="K459" s="201"/>
      <c r="L459" s="265">
        <v>0.54300000000000004</v>
      </c>
      <c r="M459" s="295"/>
      <c r="N459" s="282" t="e">
        <f t="shared" si="86"/>
        <v>#REF!</v>
      </c>
      <c r="O459" s="139" t="s">
        <v>294</v>
      </c>
    </row>
    <row r="460" spans="1:15" s="136" customFormat="1" ht="14.25" x14ac:dyDescent="0.25">
      <c r="A460" s="194" t="s">
        <v>200</v>
      </c>
      <c r="B460" s="194" t="e">
        <f>IF(#REF!=A460,1,0)</f>
        <v>#REF!</v>
      </c>
      <c r="C460" s="194"/>
      <c r="D460" s="195">
        <v>59</v>
      </c>
      <c r="E460" s="196">
        <v>0.40299999999999997</v>
      </c>
      <c r="F460" s="196" t="e">
        <f t="shared" si="83"/>
        <v>#REF!</v>
      </c>
      <c r="G460" s="196">
        <v>0.96099999999999997</v>
      </c>
      <c r="H460" s="196" t="e">
        <f t="shared" si="84"/>
        <v>#REF!</v>
      </c>
      <c r="I460" s="195">
        <v>627</v>
      </c>
      <c r="J460" s="195" t="e">
        <f t="shared" si="85"/>
        <v>#REF!</v>
      </c>
      <c r="K460" s="195"/>
      <c r="L460" s="263">
        <v>0.53</v>
      </c>
      <c r="M460" s="293">
        <v>332</v>
      </c>
      <c r="N460" s="280" t="e">
        <f t="shared" si="86"/>
        <v>#REF!</v>
      </c>
      <c r="O460" s="139"/>
    </row>
    <row r="461" spans="1:15" s="136" customFormat="1" ht="14.25" x14ac:dyDescent="0.25">
      <c r="A461" s="194" t="s">
        <v>201</v>
      </c>
      <c r="B461" s="194" t="e">
        <f>IF(#REF!=A461,1,0)</f>
        <v>#REF!</v>
      </c>
      <c r="C461" s="194"/>
      <c r="D461" s="195">
        <v>6</v>
      </c>
      <c r="E461" s="196">
        <v>0.53400000000000003</v>
      </c>
      <c r="F461" s="196" t="e">
        <f t="shared" si="83"/>
        <v>#REF!</v>
      </c>
      <c r="G461" s="196">
        <v>0.97799999999999998</v>
      </c>
      <c r="H461" s="196" t="e">
        <f t="shared" si="84"/>
        <v>#REF!</v>
      </c>
      <c r="I461" s="195">
        <v>720</v>
      </c>
      <c r="J461" s="195" t="e">
        <f t="shared" si="85"/>
        <v>#REF!</v>
      </c>
      <c r="K461" s="195"/>
      <c r="L461" s="263">
        <v>0.54</v>
      </c>
      <c r="M461" s="293">
        <v>387</v>
      </c>
      <c r="N461" s="280" t="e">
        <f t="shared" si="86"/>
        <v>#REF!</v>
      </c>
      <c r="O461" s="139"/>
    </row>
    <row r="462" spans="1:15" s="136" customFormat="1" ht="14.25" x14ac:dyDescent="0.25">
      <c r="A462" s="194" t="s">
        <v>202</v>
      </c>
      <c r="B462" s="194" t="e">
        <f>IF(#REF!=A462,1,0)</f>
        <v>#REF!</v>
      </c>
      <c r="C462" s="194"/>
      <c r="D462" s="195">
        <v>3</v>
      </c>
      <c r="E462" s="196">
        <v>0.79900000000000004</v>
      </c>
      <c r="F462" s="196" t="e">
        <f t="shared" si="83"/>
        <v>#REF!</v>
      </c>
      <c r="G462" s="196">
        <v>0.94799999999999995</v>
      </c>
      <c r="H462" s="196" t="e">
        <f t="shared" si="84"/>
        <v>#REF!</v>
      </c>
      <c r="I462" s="195">
        <v>764</v>
      </c>
      <c r="J462" s="195" t="e">
        <f t="shared" si="85"/>
        <v>#REF!</v>
      </c>
      <c r="K462" s="195"/>
      <c r="L462" s="263">
        <v>0.51</v>
      </c>
      <c r="M462" s="293">
        <v>385</v>
      </c>
      <c r="N462" s="280" t="e">
        <f t="shared" si="86"/>
        <v>#REF!</v>
      </c>
      <c r="O462" s="139"/>
    </row>
    <row r="463" spans="1:15" s="136" customFormat="1" ht="14.25" x14ac:dyDescent="0.25">
      <c r="A463" s="194" t="s">
        <v>281</v>
      </c>
      <c r="B463" s="194" t="e">
        <f>IF(#REF!=A463,1,0)</f>
        <v>#REF!</v>
      </c>
      <c r="C463" s="194"/>
      <c r="D463" s="195">
        <v>20</v>
      </c>
      <c r="E463" s="196">
        <v>0.26600000000000001</v>
      </c>
      <c r="F463" s="196" t="e">
        <f t="shared" si="83"/>
        <v>#REF!</v>
      </c>
      <c r="G463" s="196">
        <v>0.93299999999999994</v>
      </c>
      <c r="H463" s="196" t="e">
        <f t="shared" si="84"/>
        <v>#REF!</v>
      </c>
      <c r="I463" s="195">
        <v>577</v>
      </c>
      <c r="J463" s="195" t="e">
        <f t="shared" si="85"/>
        <v>#REF!</v>
      </c>
      <c r="K463" s="195"/>
      <c r="L463" s="263">
        <v>0.54</v>
      </c>
      <c r="M463" s="293">
        <v>312</v>
      </c>
      <c r="N463" s="280" t="e">
        <f t="shared" si="86"/>
        <v>#REF!</v>
      </c>
      <c r="O463" s="139"/>
    </row>
    <row r="464" spans="1:15" s="136" customFormat="1" ht="14.25" x14ac:dyDescent="0.25">
      <c r="A464" s="194" t="s">
        <v>160</v>
      </c>
      <c r="B464" s="194" t="e">
        <f>IF(#REF!=A464,1,0)</f>
        <v>#REF!</v>
      </c>
      <c r="C464" s="194"/>
      <c r="D464" s="195">
        <v>50</v>
      </c>
      <c r="E464" s="196">
        <v>0.25700000000000001</v>
      </c>
      <c r="F464" s="196" t="e">
        <f t="shared" si="83"/>
        <v>#REF!</v>
      </c>
      <c r="G464" s="196">
        <v>0.92900000000000005</v>
      </c>
      <c r="H464" s="196" t="e">
        <f t="shared" si="84"/>
        <v>#REF!</v>
      </c>
      <c r="I464" s="195">
        <v>608</v>
      </c>
      <c r="J464" s="195" t="e">
        <f t="shared" si="85"/>
        <v>#REF!</v>
      </c>
      <c r="K464" s="195"/>
      <c r="L464" s="263">
        <v>0.56000000000000005</v>
      </c>
      <c r="M464" s="293">
        <v>336</v>
      </c>
      <c r="N464" s="280" t="e">
        <f t="shared" si="86"/>
        <v>#REF!</v>
      </c>
      <c r="O464" s="139"/>
    </row>
    <row r="465" spans="1:15" s="136" customFormat="1" ht="14.25" x14ac:dyDescent="0.25">
      <c r="A465" s="194" t="s">
        <v>282</v>
      </c>
      <c r="B465" s="194" t="e">
        <f>IF(#REF!=A465,1,0)</f>
        <v>#REF!</v>
      </c>
      <c r="C465" s="194"/>
      <c r="D465" s="195">
        <v>17</v>
      </c>
      <c r="E465" s="196">
        <v>0.27300000000000002</v>
      </c>
      <c r="F465" s="196" t="e">
        <f t="shared" si="83"/>
        <v>#REF!</v>
      </c>
      <c r="G465" s="196">
        <v>0.93900000000000006</v>
      </c>
      <c r="H465" s="196" t="e">
        <f t="shared" si="84"/>
        <v>#REF!</v>
      </c>
      <c r="I465" s="195">
        <v>541</v>
      </c>
      <c r="J465" s="195" t="e">
        <f t="shared" si="85"/>
        <v>#REF!</v>
      </c>
      <c r="K465" s="195"/>
      <c r="L465" s="263">
        <v>0.56000000000000005</v>
      </c>
      <c r="M465" s="293">
        <v>298</v>
      </c>
      <c r="N465" s="280" t="e">
        <f t="shared" si="86"/>
        <v>#REF!</v>
      </c>
      <c r="O465" s="139"/>
    </row>
    <row r="466" spans="1:15" s="136" customFormat="1" ht="14.25" x14ac:dyDescent="0.25">
      <c r="A466" s="194" t="s">
        <v>283</v>
      </c>
      <c r="B466" s="194" t="e">
        <f>IF(#REF!=A466,1,0)</f>
        <v>#REF!</v>
      </c>
      <c r="C466" s="194"/>
      <c r="D466" s="195">
        <v>4</v>
      </c>
      <c r="E466" s="196">
        <v>0.29199999999999998</v>
      </c>
      <c r="F466" s="196" t="e">
        <f t="shared" si="83"/>
        <v>#REF!</v>
      </c>
      <c r="G466" s="196">
        <v>0.93500000000000005</v>
      </c>
      <c r="H466" s="196" t="e">
        <f t="shared" si="84"/>
        <v>#REF!</v>
      </c>
      <c r="I466" s="195">
        <v>609</v>
      </c>
      <c r="J466" s="195" t="e">
        <f t="shared" si="85"/>
        <v>#REF!</v>
      </c>
      <c r="K466" s="195"/>
      <c r="L466" s="263">
        <v>0.56999999999999995</v>
      </c>
      <c r="M466" s="293">
        <v>348</v>
      </c>
      <c r="N466" s="280" t="e">
        <f t="shared" si="86"/>
        <v>#REF!</v>
      </c>
      <c r="O466" s="139"/>
    </row>
    <row r="467" spans="1:15" s="136" customFormat="1" ht="14.25" x14ac:dyDescent="0.25">
      <c r="A467" s="194" t="s">
        <v>163</v>
      </c>
      <c r="B467" s="194" t="e">
        <f>IF(#REF!=A467,1,0)</f>
        <v>#REF!</v>
      </c>
      <c r="C467" s="194"/>
      <c r="D467" s="195">
        <v>222</v>
      </c>
      <c r="E467" s="202">
        <v>0.32800000000000001</v>
      </c>
      <c r="F467" s="202" t="e">
        <f>IF(B467=1,E467,0)</f>
        <v>#REF!</v>
      </c>
      <c r="G467" s="202">
        <v>0.93700000000000006</v>
      </c>
      <c r="H467" s="202" t="e">
        <f>IF(B467=1,G467,0)</f>
        <v>#REF!</v>
      </c>
      <c r="I467" s="201">
        <v>624</v>
      </c>
      <c r="J467" s="201" t="e">
        <f>IF(B467=1,I467,0)</f>
        <v>#REF!</v>
      </c>
      <c r="K467" s="201"/>
      <c r="L467" s="265">
        <v>0.56000000000000005</v>
      </c>
      <c r="M467" s="301"/>
      <c r="N467" s="282" t="e">
        <f t="shared" si="86"/>
        <v>#REF!</v>
      </c>
      <c r="O467" s="139" t="s">
        <v>294</v>
      </c>
    </row>
    <row r="468" spans="1:15" s="136" customFormat="1" thickBot="1" x14ac:dyDescent="0.3">
      <c r="A468" s="194" t="s">
        <v>204</v>
      </c>
      <c r="B468" s="194" t="e">
        <f>IF(#REF!=A468,1,0)</f>
        <v>#REF!</v>
      </c>
      <c r="C468" s="194"/>
      <c r="D468" s="195">
        <v>10</v>
      </c>
      <c r="E468" s="217">
        <v>0.88</v>
      </c>
      <c r="F468" s="217" t="e">
        <f t="shared" ref="F468" si="87">IF(B468=1,E468,0)</f>
        <v>#REF!</v>
      </c>
      <c r="G468" s="217">
        <v>0.97799999999999998</v>
      </c>
      <c r="H468" s="217" t="e">
        <f t="shared" ref="H468" si="88">IF(B468=1,G468,0)</f>
        <v>#REF!</v>
      </c>
      <c r="I468" s="216">
        <v>670</v>
      </c>
      <c r="J468" s="216" t="e">
        <f t="shared" ref="J468" si="89">IF(B468=1,I468,0)</f>
        <v>#REF!</v>
      </c>
      <c r="K468" s="216"/>
      <c r="L468" s="271">
        <v>0.52</v>
      </c>
      <c r="M468" s="295"/>
      <c r="N468" s="286" t="e">
        <f t="shared" si="86"/>
        <v>#REF!</v>
      </c>
      <c r="O468" s="139" t="s">
        <v>294</v>
      </c>
    </row>
    <row r="469" spans="1:15" s="136" customFormat="1" ht="14.25" x14ac:dyDescent="0.25">
      <c r="A469" s="194" t="s">
        <v>21</v>
      </c>
      <c r="B469" s="194" t="e">
        <f>IF(#REF!=A469,1,0)</f>
        <v>#REF!</v>
      </c>
      <c r="C469" s="194"/>
      <c r="D469" s="195">
        <v>17</v>
      </c>
      <c r="E469" s="196">
        <v>0.92799999999999994</v>
      </c>
      <c r="F469" s="196" t="e">
        <f t="shared" si="83"/>
        <v>#REF!</v>
      </c>
      <c r="G469" s="196">
        <v>0.91599999999999993</v>
      </c>
      <c r="H469" s="196" t="e">
        <f t="shared" si="84"/>
        <v>#REF!</v>
      </c>
      <c r="I469" s="195">
        <v>558</v>
      </c>
      <c r="J469" s="195" t="e">
        <f t="shared" si="85"/>
        <v>#REF!</v>
      </c>
      <c r="K469" s="195">
        <v>474.32678399999992</v>
      </c>
      <c r="L469" s="263">
        <v>0.52</v>
      </c>
      <c r="M469" s="293">
        <v>292</v>
      </c>
      <c r="N469" s="280" t="e">
        <f t="shared" si="86"/>
        <v>#REF!</v>
      </c>
      <c r="O469" s="139"/>
    </row>
    <row r="470" spans="1:15" s="136" customFormat="1" ht="14.25" x14ac:dyDescent="0.25">
      <c r="A470" s="194" t="s">
        <v>284</v>
      </c>
      <c r="B470" s="194" t="e">
        <f>IF(#REF!=A470,1,0)</f>
        <v>#REF!</v>
      </c>
      <c r="C470" s="194"/>
      <c r="D470" s="195">
        <v>7</v>
      </c>
      <c r="E470" s="196">
        <v>0.312</v>
      </c>
      <c r="F470" s="196" t="e">
        <f t="shared" si="83"/>
        <v>#REF!</v>
      </c>
      <c r="G470" s="196">
        <v>0.92200000000000004</v>
      </c>
      <c r="H470" s="196" t="e">
        <f t="shared" si="84"/>
        <v>#REF!</v>
      </c>
      <c r="I470" s="195">
        <v>543</v>
      </c>
      <c r="J470" s="195" t="e">
        <f t="shared" si="85"/>
        <v>#REF!</v>
      </c>
      <c r="K470" s="195">
        <v>156.20155199999999</v>
      </c>
      <c r="L470" s="263">
        <v>0.62</v>
      </c>
      <c r="M470" s="293">
        <v>335</v>
      </c>
      <c r="N470" s="280" t="e">
        <f t="shared" si="86"/>
        <v>#REF!</v>
      </c>
      <c r="O470" s="139"/>
    </row>
    <row r="471" spans="1:15" s="136" customFormat="1" ht="14.25" x14ac:dyDescent="0.25">
      <c r="A471" s="194" t="s">
        <v>285</v>
      </c>
      <c r="B471" s="194" t="e">
        <f>IF(#REF!=A471,1,0)</f>
        <v>#REF!</v>
      </c>
      <c r="C471" s="194"/>
      <c r="D471" s="195">
        <v>76</v>
      </c>
      <c r="E471" s="196">
        <v>0.20899999999999999</v>
      </c>
      <c r="F471" s="196" t="e">
        <f t="shared" si="83"/>
        <v>#REF!</v>
      </c>
      <c r="G471" s="196">
        <v>0.88700000000000001</v>
      </c>
      <c r="H471" s="196" t="e">
        <f t="shared" si="84"/>
        <v>#REF!</v>
      </c>
      <c r="I471" s="195">
        <v>517</v>
      </c>
      <c r="J471" s="195" t="e">
        <f t="shared" si="85"/>
        <v>#REF!</v>
      </c>
      <c r="K471" s="195"/>
      <c r="L471" s="263">
        <v>0.56999999999999995</v>
      </c>
      <c r="M471" s="293">
        <v>294</v>
      </c>
      <c r="N471" s="280" t="e">
        <f t="shared" si="86"/>
        <v>#REF!</v>
      </c>
      <c r="O471" s="139"/>
    </row>
    <row r="472" spans="1:15" s="136" customFormat="1" ht="14.25" x14ac:dyDescent="0.25">
      <c r="A472" s="194" t="s">
        <v>286</v>
      </c>
      <c r="B472" s="194" t="e">
        <f>IF(#REF!=A472,1,0)</f>
        <v>#REF!</v>
      </c>
      <c r="C472" s="194"/>
      <c r="D472" s="195">
        <v>46</v>
      </c>
      <c r="E472" s="196">
        <v>0.16300000000000001</v>
      </c>
      <c r="F472" s="196" t="e">
        <f t="shared" si="83"/>
        <v>#REF!</v>
      </c>
      <c r="G472" s="196">
        <v>0.91799999999999993</v>
      </c>
      <c r="H472" s="196" t="e">
        <f t="shared" si="84"/>
        <v>#REF!</v>
      </c>
      <c r="I472" s="195">
        <v>572</v>
      </c>
      <c r="J472" s="195" t="e">
        <f t="shared" si="85"/>
        <v>#REF!</v>
      </c>
      <c r="K472" s="195">
        <v>85.590648000000002</v>
      </c>
      <c r="L472" s="263">
        <v>0.54</v>
      </c>
      <c r="M472" s="293">
        <v>306</v>
      </c>
      <c r="N472" s="280" t="e">
        <f t="shared" si="86"/>
        <v>#REF!</v>
      </c>
      <c r="O472" s="139"/>
    </row>
    <row r="473" spans="1:15" s="136" customFormat="1" ht="14.25" x14ac:dyDescent="0.25">
      <c r="A473" s="194" t="s">
        <v>287</v>
      </c>
      <c r="B473" s="194" t="e">
        <f>IF(#REF!=A473,1,0)</f>
        <v>#REF!</v>
      </c>
      <c r="C473" s="194"/>
      <c r="D473" s="195">
        <v>5</v>
      </c>
      <c r="E473" s="196">
        <v>9.3000000000000013E-2</v>
      </c>
      <c r="F473" s="196" t="e">
        <f t="shared" si="83"/>
        <v>#REF!</v>
      </c>
      <c r="G473" s="196">
        <v>0.80099999999999993</v>
      </c>
      <c r="H473" s="196" t="e">
        <f t="shared" si="84"/>
        <v>#REF!</v>
      </c>
      <c r="I473" s="195">
        <v>509</v>
      </c>
      <c r="J473" s="195" t="e">
        <f t="shared" si="85"/>
        <v>#REF!</v>
      </c>
      <c r="K473" s="195">
        <v>37.916936999999997</v>
      </c>
      <c r="L473" s="263">
        <v>0.6</v>
      </c>
      <c r="M473" s="293">
        <v>305</v>
      </c>
      <c r="N473" s="280" t="e">
        <f t="shared" si="86"/>
        <v>#REF!</v>
      </c>
      <c r="O473" s="139"/>
    </row>
    <row r="474" spans="1:15" s="136" customFormat="1" ht="14.25" x14ac:dyDescent="0.25">
      <c r="A474" s="194" t="s">
        <v>288</v>
      </c>
      <c r="B474" s="194" t="e">
        <f>IF(#REF!=A474,1,0)</f>
        <v>#REF!</v>
      </c>
      <c r="C474" s="194"/>
      <c r="D474" s="195">
        <v>8</v>
      </c>
      <c r="E474" s="196">
        <v>0.09</v>
      </c>
      <c r="F474" s="196" t="e">
        <f t="shared" si="83"/>
        <v>#REF!</v>
      </c>
      <c r="G474" s="196">
        <v>0.86299999999999999</v>
      </c>
      <c r="H474" s="196" t="e">
        <f t="shared" si="84"/>
        <v>#REF!</v>
      </c>
      <c r="I474" s="195">
        <v>606</v>
      </c>
      <c r="J474" s="195" t="e">
        <f t="shared" si="85"/>
        <v>#REF!</v>
      </c>
      <c r="K474" s="195">
        <v>47.068019999999997</v>
      </c>
      <c r="L474" s="263">
        <v>0.65</v>
      </c>
      <c r="M474" s="293">
        <v>390</v>
      </c>
      <c r="N474" s="280" t="e">
        <f t="shared" si="86"/>
        <v>#REF!</v>
      </c>
      <c r="O474" s="139"/>
    </row>
    <row r="475" spans="1:15" s="136" customFormat="1" ht="14.25" x14ac:dyDescent="0.25">
      <c r="A475" s="194" t="s">
        <v>289</v>
      </c>
      <c r="B475" s="194" t="e">
        <f>IF(#REF!=A475,1,0)</f>
        <v>#REF!</v>
      </c>
      <c r="C475" s="194"/>
      <c r="D475" s="195">
        <v>2</v>
      </c>
      <c r="E475" s="196">
        <v>0.13400000000000001</v>
      </c>
      <c r="F475" s="196" t="e">
        <f t="shared" si="83"/>
        <v>#REF!</v>
      </c>
      <c r="G475" s="196">
        <v>0.875</v>
      </c>
      <c r="H475" s="196" t="e">
        <f t="shared" si="84"/>
        <v>#REF!</v>
      </c>
      <c r="I475" s="195">
        <v>531</v>
      </c>
      <c r="J475" s="195" t="e">
        <f t="shared" si="85"/>
        <v>#REF!</v>
      </c>
      <c r="K475" s="195">
        <v>62.259750000000004</v>
      </c>
      <c r="L475" s="263">
        <v>0.6</v>
      </c>
      <c r="M475" s="293">
        <v>318</v>
      </c>
      <c r="N475" s="280" t="e">
        <f t="shared" si="86"/>
        <v>#REF!</v>
      </c>
      <c r="O475" s="139"/>
    </row>
    <row r="476" spans="1:15" s="136" customFormat="1" ht="14.25" x14ac:dyDescent="0.25">
      <c r="A476" s="139" t="s">
        <v>156</v>
      </c>
      <c r="B476" s="139"/>
      <c r="C476" s="139"/>
      <c r="D476" s="139"/>
      <c r="E476" s="139"/>
      <c r="F476" s="235" t="e">
        <f>SUM(F446:F475)</f>
        <v>#REF!</v>
      </c>
      <c r="G476" s="139"/>
      <c r="H476" s="235" t="e">
        <f>SUM(H446:H475)</f>
        <v>#REF!</v>
      </c>
      <c r="I476" s="139"/>
      <c r="J476" s="236" t="e">
        <f>SUM(J446:J475)</f>
        <v>#REF!</v>
      </c>
      <c r="K476" s="139"/>
      <c r="L476" s="139"/>
      <c r="M476" s="303"/>
      <c r="N476" s="235" t="e">
        <f>SUM(N446:N475)</f>
        <v>#REF!</v>
      </c>
      <c r="O476" s="139"/>
    </row>
  </sheetData>
  <mergeCells count="4">
    <mergeCell ref="I65:J65"/>
    <mergeCell ref="E3:F3"/>
    <mergeCell ref="I54:I55"/>
    <mergeCell ref="B10:C10"/>
  </mergeCells>
  <pageMargins left="0" right="0" top="0.43307086614173229" bottom="0.94488188976377963" header="0.31496062992125984" footer="0.31496062992125984"/>
  <pageSetup paperSize="9" orientation="landscape" blackAndWhite="1" r:id="rId1"/>
  <headerFooter alignWithMargins="0">
    <oddHeader>&amp;C&amp;"Arial,Fett"75 kW 84% Gülle und 16% Mais</oddHeader>
    <oddFooter>&amp;C&amp;"Arial,Standard"Seite&amp;P</oddFooter>
  </headerFooter>
  <drawing r:id="rId2"/>
  <legacyDrawing r:id="rId3"/>
  <oleObjects>
    <mc:AlternateContent xmlns:mc="http://schemas.openxmlformats.org/markup-compatibility/2006">
      <mc:Choice Requires="x14">
        <oleObject progId="Equation.3" shapeId="9217" r:id="rId4">
          <objectPr defaultSize="0" autoPict="0" r:id="rId5">
            <anchor moveWithCells="1" sizeWithCells="1">
              <from>
                <xdr:col>0</xdr:col>
                <xdr:colOff>28575</xdr:colOff>
                <xdr:row>67</xdr:row>
                <xdr:rowOff>104775</xdr:rowOff>
              </from>
              <to>
                <xdr:col>4</xdr:col>
                <xdr:colOff>828675</xdr:colOff>
                <xdr:row>73</xdr:row>
                <xdr:rowOff>66675</xdr:rowOff>
              </to>
            </anchor>
          </objectPr>
        </oleObject>
      </mc:Choice>
      <mc:Fallback>
        <oleObject progId="Equation.3" shapeId="9217" r:id="rId4"/>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C528E-B764-4518-9065-C8EB918D148E}">
  <dimension ref="A1:M57"/>
  <sheetViews>
    <sheetView zoomScale="90" zoomScaleNormal="90" workbookViewId="0">
      <selection activeCell="E7" sqref="E7"/>
    </sheetView>
  </sheetViews>
  <sheetFormatPr baseColWidth="10" defaultRowHeight="15" customHeight="1" x14ac:dyDescent="0.25"/>
  <cols>
    <col min="1" max="1" width="24.28515625" customWidth="1"/>
    <col min="2" max="2" width="19.28515625" customWidth="1"/>
    <col min="3" max="3" width="14" bestFit="1" customWidth="1"/>
    <col min="4" max="4" width="18.85546875" customWidth="1"/>
    <col min="5" max="5" width="21.140625" customWidth="1"/>
    <col min="6" max="6" width="23.7109375" customWidth="1"/>
    <col min="7" max="7" width="24.28515625" customWidth="1"/>
    <col min="9" max="9" width="12" bestFit="1" customWidth="1"/>
    <col min="10" max="10" width="16" customWidth="1"/>
    <col min="11" max="11" width="14.5703125" customWidth="1"/>
  </cols>
  <sheetData>
    <row r="1" spans="1:13" x14ac:dyDescent="0.25">
      <c r="A1" t="s">
        <v>119</v>
      </c>
    </row>
    <row r="2" spans="1:13" ht="15.75" thickBot="1" x14ac:dyDescent="0.3">
      <c r="B2" s="96"/>
    </row>
    <row r="3" spans="1:13" ht="15.75" thickBot="1" x14ac:dyDescent="0.3">
      <c r="A3" s="97" t="s">
        <v>120</v>
      </c>
      <c r="B3" s="134">
        <f>'Anlage W Nr. 2.1'!I13</f>
        <v>0</v>
      </c>
    </row>
    <row r="4" spans="1:13" ht="16.5" thickBot="1" x14ac:dyDescent="0.35">
      <c r="A4" s="97" t="s">
        <v>121</v>
      </c>
      <c r="B4" s="98">
        <f>'Anlage W Nr. 2.1'!I15</f>
        <v>0</v>
      </c>
    </row>
    <row r="5" spans="1:13" ht="16.5" thickBot="1" x14ac:dyDescent="0.35">
      <c r="A5" s="97" t="s">
        <v>122</v>
      </c>
      <c r="B5" s="99">
        <f>IF(B3&lt;&gt;0,INDEX(A38:B42,MATCH(B3,A38:A42,0),2),0)</f>
        <v>0</v>
      </c>
    </row>
    <row r="6" spans="1:13" ht="16.5" thickBot="1" x14ac:dyDescent="0.35">
      <c r="A6" s="97" t="s">
        <v>123</v>
      </c>
      <c r="B6" s="100">
        <f>IF(B3&lt;&gt;0,INDEX(A38:C42,MATCH(B3,A38:A42,0),3),0)</f>
        <v>0</v>
      </c>
    </row>
    <row r="7" spans="1:13" ht="15.75" thickBot="1" x14ac:dyDescent="0.3">
      <c r="A7" s="97" t="s">
        <v>124</v>
      </c>
      <c r="B7" s="101">
        <f>IF(B3&lt;&gt;0,INDEX(A38:D42,MATCH(B3,A38:A42,0),4),0)</f>
        <v>0</v>
      </c>
    </row>
    <row r="8" spans="1:13" ht="15.75" thickBot="1" x14ac:dyDescent="0.3">
      <c r="A8" s="97" t="s">
        <v>125</v>
      </c>
      <c r="B8" s="102">
        <f>IF(B3&lt;&gt;0,INDEX($A$38:$E$42,MATCH($B$3,$A$38:$A$42,0),5),0)</f>
        <v>0</v>
      </c>
    </row>
    <row r="9" spans="1:13" ht="15.75" thickBot="1" x14ac:dyDescent="0.3">
      <c r="A9" s="97" t="s">
        <v>126</v>
      </c>
      <c r="B9" s="102">
        <f>IF(B3&lt;&gt;0,INDEX($A$38:$F$42,MATCH($B$3,$A$38:$A$42,0),6),0)</f>
        <v>0</v>
      </c>
    </row>
    <row r="10" spans="1:13" ht="15.75" thickBot="1" x14ac:dyDescent="0.3">
      <c r="A10" s="97" t="s">
        <v>127</v>
      </c>
      <c r="B10" s="101">
        <f>IF(B3="Aminwäsche",K15,0)</f>
        <v>0</v>
      </c>
    </row>
    <row r="11" spans="1:13" ht="15.75" thickBot="1" x14ac:dyDescent="0.3">
      <c r="A11" s="97"/>
      <c r="B11" s="103"/>
      <c r="C11" s="104" t="s">
        <v>128</v>
      </c>
    </row>
    <row r="12" spans="1:13" ht="15.75" thickBot="1" x14ac:dyDescent="0.3">
      <c r="A12" t="s">
        <v>129</v>
      </c>
      <c r="B12" s="103"/>
      <c r="C12" s="105">
        <f>[8]Bezugsdaten!D179</f>
        <v>0</v>
      </c>
      <c r="F12" s="106"/>
    </row>
    <row r="13" spans="1:13" ht="15.75" thickBot="1" x14ac:dyDescent="0.3">
      <c r="A13" s="107" t="s">
        <v>130</v>
      </c>
      <c r="B13" s="108" t="s">
        <v>131</v>
      </c>
      <c r="C13" s="109" t="s">
        <v>128</v>
      </c>
      <c r="D13" s="107" t="s">
        <v>132</v>
      </c>
      <c r="E13" s="110" t="s">
        <v>133</v>
      </c>
      <c r="F13" s="110" t="s">
        <v>133</v>
      </c>
      <c r="G13" s="107" t="s">
        <v>124</v>
      </c>
      <c r="H13" s="107" t="s">
        <v>134</v>
      </c>
      <c r="I13" s="107" t="s">
        <v>135</v>
      </c>
      <c r="J13" s="107" t="s">
        <v>136</v>
      </c>
      <c r="K13" s="107" t="s">
        <v>127</v>
      </c>
      <c r="L13" s="111" t="s">
        <v>137</v>
      </c>
      <c r="M13" s="107" t="s">
        <v>138</v>
      </c>
    </row>
    <row r="14" spans="1:13" ht="15.75" thickBot="1" x14ac:dyDescent="0.3">
      <c r="A14" s="107" t="s">
        <v>139</v>
      </c>
      <c r="B14" s="108" t="s">
        <v>140</v>
      </c>
      <c r="C14" s="109" t="s">
        <v>81</v>
      </c>
      <c r="D14" s="107" t="s">
        <v>78</v>
      </c>
      <c r="E14" s="107" t="s">
        <v>141</v>
      </c>
      <c r="F14" s="107" t="s">
        <v>142</v>
      </c>
      <c r="G14" s="111" t="s">
        <v>143</v>
      </c>
      <c r="H14" s="107" t="s">
        <v>81</v>
      </c>
      <c r="I14" s="107" t="s">
        <v>78</v>
      </c>
      <c r="J14" s="107" t="s">
        <v>144</v>
      </c>
      <c r="K14" s="111" t="s">
        <v>143</v>
      </c>
      <c r="L14" s="111" t="s">
        <v>143</v>
      </c>
      <c r="M14" s="107" t="s">
        <v>78</v>
      </c>
    </row>
    <row r="15" spans="1:13" ht="16.5" thickBot="1" x14ac:dyDescent="0.35">
      <c r="A15" t="s">
        <v>112</v>
      </c>
      <c r="B15" s="103">
        <v>500</v>
      </c>
      <c r="C15" s="112">
        <v>1189983</v>
      </c>
      <c r="D15" s="113">
        <v>4.770219406495723E-2</v>
      </c>
      <c r="E15" s="114">
        <v>0.30864766217020911</v>
      </c>
      <c r="F15" s="115">
        <v>0.30895661340530822</v>
      </c>
      <c r="G15" s="116">
        <v>0.09</v>
      </c>
      <c r="H15" s="117">
        <v>0.22054793367421757</v>
      </c>
      <c r="I15" s="113">
        <v>9.9998259203415429E-4</v>
      </c>
      <c r="J15" s="118">
        <f t="shared" ref="J15:J35" si="0">C15/B15</f>
        <v>2379.9659999999999</v>
      </c>
      <c r="K15" s="119">
        <v>0.6</v>
      </c>
      <c r="L15">
        <v>0.3</v>
      </c>
      <c r="M15">
        <v>0.99</v>
      </c>
    </row>
    <row r="16" spans="1:13" ht="16.5" thickBot="1" x14ac:dyDescent="0.35">
      <c r="A16" t="s">
        <v>112</v>
      </c>
      <c r="B16" s="103">
        <v>700</v>
      </c>
      <c r="C16" s="120">
        <v>1384937</v>
      </c>
      <c r="D16" s="121">
        <v>5.0156288697608631E-2</v>
      </c>
      <c r="E16" s="114">
        <v>0.30740926276214964</v>
      </c>
      <c r="F16" s="115">
        <v>0.30771698223976029</v>
      </c>
      <c r="G16" s="116">
        <v>0.09</v>
      </c>
      <c r="H16" s="122">
        <v>0.22054796726380196</v>
      </c>
      <c r="I16" s="121">
        <v>1.0000081093050062E-3</v>
      </c>
      <c r="J16" s="118">
        <f t="shared" si="0"/>
        <v>1978.4814285714285</v>
      </c>
      <c r="K16" s="119">
        <v>0.6</v>
      </c>
      <c r="L16">
        <v>0.3</v>
      </c>
      <c r="M16">
        <v>0.99</v>
      </c>
    </row>
    <row r="17" spans="1:13" ht="16.5" thickBot="1" x14ac:dyDescent="0.35">
      <c r="A17" t="s">
        <v>112</v>
      </c>
      <c r="B17" s="103">
        <v>1400</v>
      </c>
      <c r="C17" s="120">
        <v>2968736</v>
      </c>
      <c r="D17" s="121">
        <v>3.2916214173304731E-2</v>
      </c>
      <c r="E17" s="114">
        <v>0.30753024139639135</v>
      </c>
      <c r="F17" s="115">
        <v>0.30783807270493063</v>
      </c>
      <c r="G17" s="116">
        <v>0.09</v>
      </c>
      <c r="H17" s="122">
        <v>0.22054792973015602</v>
      </c>
      <c r="I17" s="121">
        <v>9.9997802687123993E-4</v>
      </c>
      <c r="J17" s="118">
        <f t="shared" si="0"/>
        <v>2120.5257142857145</v>
      </c>
      <c r="K17" s="119">
        <v>0.6</v>
      </c>
      <c r="L17">
        <v>0.3</v>
      </c>
      <c r="M17">
        <v>0.99</v>
      </c>
    </row>
    <row r="18" spans="1:13" ht="16.5" thickBot="1" x14ac:dyDescent="0.35">
      <c r="A18" t="s">
        <v>112</v>
      </c>
      <c r="B18" s="103">
        <v>2000</v>
      </c>
      <c r="C18" s="120">
        <v>3768412</v>
      </c>
      <c r="D18" s="121">
        <v>3.0796123141524863E-2</v>
      </c>
      <c r="E18" s="114">
        <v>0.30810906668944432</v>
      </c>
      <c r="F18" s="115">
        <v>0.30841748334116986</v>
      </c>
      <c r="G18" s="116">
        <v>0.09</v>
      </c>
      <c r="H18" s="122">
        <v>0.22054793309093981</v>
      </c>
      <c r="I18" s="121">
        <v>9.9999730360400552E-4</v>
      </c>
      <c r="J18" s="118">
        <f t="shared" si="0"/>
        <v>1884.2059999999999</v>
      </c>
      <c r="K18" s="119">
        <v>0.6</v>
      </c>
      <c r="L18">
        <v>0.3</v>
      </c>
      <c r="M18">
        <v>0.99</v>
      </c>
    </row>
    <row r="19" spans="1:13" ht="16.5" thickBot="1" x14ac:dyDescent="0.35">
      <c r="A19" t="s">
        <v>111</v>
      </c>
      <c r="B19" s="103">
        <v>350</v>
      </c>
      <c r="C19" s="120">
        <v>1443979</v>
      </c>
      <c r="D19" s="121">
        <v>1.6103101222386198E-2</v>
      </c>
      <c r="E19" s="114">
        <v>0.85495422706179847</v>
      </c>
      <c r="F19" s="115">
        <v>0.86359014966500303</v>
      </c>
      <c r="G19" s="116">
        <v>0.25</v>
      </c>
      <c r="H19" s="122">
        <v>0.22054789824352855</v>
      </c>
      <c r="I19" s="121">
        <v>1.0000024440475985E-2</v>
      </c>
      <c r="J19" s="118">
        <f t="shared" si="0"/>
        <v>4125.6542857142858</v>
      </c>
      <c r="K19" s="119">
        <v>0</v>
      </c>
      <c r="L19">
        <v>0.15</v>
      </c>
      <c r="M19">
        <v>0.98</v>
      </c>
    </row>
    <row r="20" spans="1:13" ht="16.5" thickBot="1" x14ac:dyDescent="0.35">
      <c r="A20" t="s">
        <v>111</v>
      </c>
      <c r="B20" s="103">
        <v>700</v>
      </c>
      <c r="C20" s="120">
        <v>2231814</v>
      </c>
      <c r="D20" s="121">
        <v>1.608959796828947E-2</v>
      </c>
      <c r="E20" s="114">
        <v>0.85495421774614933</v>
      </c>
      <c r="F20" s="115">
        <v>0.86359012528160539</v>
      </c>
      <c r="G20" s="116">
        <v>0.25</v>
      </c>
      <c r="H20" s="122">
        <v>0.22054793357557645</v>
      </c>
      <c r="I20" s="121">
        <v>1.0000007275025258E-2</v>
      </c>
      <c r="J20" s="118">
        <f t="shared" si="0"/>
        <v>3188.3057142857142</v>
      </c>
      <c r="K20" s="119">
        <v>0</v>
      </c>
      <c r="L20">
        <v>0.15</v>
      </c>
      <c r="M20">
        <v>0.98</v>
      </c>
    </row>
    <row r="21" spans="1:13" ht="16.5" thickBot="1" x14ac:dyDescent="0.35">
      <c r="A21" t="s">
        <v>111</v>
      </c>
      <c r="B21" s="103">
        <v>1400</v>
      </c>
      <c r="C21" s="120">
        <v>2897200</v>
      </c>
      <c r="D21" s="121">
        <v>2.0318652492061301E-2</v>
      </c>
      <c r="E21" s="114">
        <v>0.8541150128824827</v>
      </c>
      <c r="F21" s="115">
        <v>0.86274242980169524</v>
      </c>
      <c r="G21" s="116">
        <v>0.25</v>
      </c>
      <c r="H21" s="122">
        <v>0.22054794632776864</v>
      </c>
      <c r="I21" s="121">
        <v>9.9999914472685969E-3</v>
      </c>
      <c r="J21" s="118">
        <f t="shared" si="0"/>
        <v>2069.4285714285716</v>
      </c>
      <c r="K21" s="119">
        <v>0</v>
      </c>
      <c r="L21">
        <v>0.15</v>
      </c>
      <c r="M21">
        <v>0.98</v>
      </c>
    </row>
    <row r="22" spans="1:13" ht="16.5" thickBot="1" x14ac:dyDescent="0.35">
      <c r="A22" t="s">
        <v>111</v>
      </c>
      <c r="B22" s="103">
        <v>2000</v>
      </c>
      <c r="C22" s="120">
        <v>3744527</v>
      </c>
      <c r="D22" s="121">
        <v>2.0212539527689342E-2</v>
      </c>
      <c r="E22" s="114">
        <v>0.85425068039111196</v>
      </c>
      <c r="F22" s="115">
        <v>0.86287947804584986</v>
      </c>
      <c r="G22" s="116">
        <v>0.25</v>
      </c>
      <c r="H22" s="122">
        <v>0.22054794657990259</v>
      </c>
      <c r="I22" s="121">
        <v>1.0000003331032348E-2</v>
      </c>
      <c r="J22" s="118">
        <f t="shared" si="0"/>
        <v>1872.2635</v>
      </c>
      <c r="K22" s="119">
        <v>0</v>
      </c>
      <c r="L22">
        <v>0.15</v>
      </c>
      <c r="M22">
        <v>0.98</v>
      </c>
    </row>
    <row r="23" spans="1:13" ht="16.5" thickBot="1" x14ac:dyDescent="0.35">
      <c r="A23" t="s">
        <v>145</v>
      </c>
      <c r="B23" s="103">
        <v>400</v>
      </c>
      <c r="C23" s="120">
        <v>2119790</v>
      </c>
      <c r="D23" s="121">
        <v>2.6024738299548541E-2</v>
      </c>
      <c r="E23" s="114">
        <v>0.8523734123653034</v>
      </c>
      <c r="F23" s="115">
        <v>0.8653537331741521</v>
      </c>
      <c r="G23" s="116">
        <v>0.25</v>
      </c>
      <c r="H23" s="122">
        <v>0.22054792161301037</v>
      </c>
      <c r="I23" s="121">
        <v>1.5000017115817443E-2</v>
      </c>
      <c r="J23" s="118">
        <f t="shared" si="0"/>
        <v>5299.4750000000004</v>
      </c>
      <c r="K23" s="119">
        <v>0</v>
      </c>
      <c r="L23">
        <v>0.15</v>
      </c>
      <c r="M23">
        <v>0.97</v>
      </c>
    </row>
    <row r="24" spans="1:13" s="95" customFormat="1" ht="16.5" thickBot="1" x14ac:dyDescent="0.35">
      <c r="A24" t="s">
        <v>145</v>
      </c>
      <c r="B24" s="103">
        <v>700</v>
      </c>
      <c r="C24" s="120">
        <v>2287003</v>
      </c>
      <c r="D24" s="121">
        <v>3.2689655413657086E-2</v>
      </c>
      <c r="E24" s="114">
        <v>0.85495426266165975</v>
      </c>
      <c r="F24" s="115">
        <v>0.86797385971297603</v>
      </c>
      <c r="G24" s="116">
        <v>0.25</v>
      </c>
      <c r="H24" s="122">
        <v>0.22054791938162496</v>
      </c>
      <c r="I24" s="121">
        <v>1.499998750610021E-2</v>
      </c>
      <c r="J24" s="118">
        <f t="shared" si="0"/>
        <v>3267.1471428571431</v>
      </c>
      <c r="K24" s="119">
        <v>0</v>
      </c>
      <c r="L24">
        <v>0.15</v>
      </c>
      <c r="M24">
        <v>0.97</v>
      </c>
    </row>
    <row r="25" spans="1:13" ht="16.5" thickBot="1" x14ac:dyDescent="0.35">
      <c r="A25" t="s">
        <v>145</v>
      </c>
      <c r="B25" s="103">
        <v>1400</v>
      </c>
      <c r="C25" s="120">
        <v>2948057</v>
      </c>
      <c r="D25" s="121">
        <v>3.0351563758774E-2</v>
      </c>
      <c r="E25" s="114">
        <v>0.85495424620778548</v>
      </c>
      <c r="F25" s="115">
        <v>0.86797385715358755</v>
      </c>
      <c r="G25" s="116">
        <v>0.25</v>
      </c>
      <c r="H25" s="122">
        <v>0.22054794375461825</v>
      </c>
      <c r="I25" s="121">
        <v>1.5000003558284569E-2</v>
      </c>
      <c r="J25" s="118">
        <f t="shared" si="0"/>
        <v>2105.7550000000001</v>
      </c>
      <c r="K25" s="119">
        <v>0</v>
      </c>
      <c r="L25">
        <v>0.15</v>
      </c>
      <c r="M25">
        <v>0.97</v>
      </c>
    </row>
    <row r="26" spans="1:13" ht="16.5" thickBot="1" x14ac:dyDescent="0.35">
      <c r="A26" t="s">
        <v>145</v>
      </c>
      <c r="B26" s="103">
        <v>2000</v>
      </c>
      <c r="C26" s="120">
        <v>3609111</v>
      </c>
      <c r="D26" s="121">
        <v>3.3087461150405187E-2</v>
      </c>
      <c r="E26" s="114">
        <v>0.85425068039111196</v>
      </c>
      <c r="F26" s="115">
        <v>0.86725956862421416</v>
      </c>
      <c r="G26" s="116">
        <v>0.25</v>
      </c>
      <c r="H26" s="122">
        <v>0.22054794657990259</v>
      </c>
      <c r="I26" s="121">
        <v>1.4999993893107355E-2</v>
      </c>
      <c r="J26" s="118">
        <f t="shared" si="0"/>
        <v>1804.5554999999999</v>
      </c>
      <c r="K26" s="119">
        <v>0</v>
      </c>
      <c r="L26">
        <v>0.15</v>
      </c>
      <c r="M26">
        <v>0.97</v>
      </c>
    </row>
    <row r="27" spans="1:13" ht="16.5" thickBot="1" x14ac:dyDescent="0.35">
      <c r="A27" t="s">
        <v>145</v>
      </c>
      <c r="B27" s="103">
        <v>2800</v>
      </c>
      <c r="C27" s="120">
        <v>3699475</v>
      </c>
      <c r="D27" s="121">
        <v>3.7553055501118399E-2</v>
      </c>
      <c r="E27" s="114">
        <v>0.85585853618434082</v>
      </c>
      <c r="F27" s="115">
        <v>0.86889190714148046</v>
      </c>
      <c r="G27" s="116">
        <v>0.25</v>
      </c>
      <c r="H27" s="122">
        <v>0.22054793760559102</v>
      </c>
      <c r="I27" s="121">
        <v>1.4999991195702833E-2</v>
      </c>
      <c r="J27" s="118">
        <f t="shared" si="0"/>
        <v>1321.2410714285713</v>
      </c>
      <c r="K27" s="119">
        <v>0</v>
      </c>
      <c r="L27">
        <v>0.15</v>
      </c>
      <c r="M27">
        <v>0.97</v>
      </c>
    </row>
    <row r="28" spans="1:13" ht="16.5" thickBot="1" x14ac:dyDescent="0.35">
      <c r="A28" t="s">
        <v>113</v>
      </c>
      <c r="B28" s="103">
        <v>400</v>
      </c>
      <c r="C28" s="120">
        <v>1706784</v>
      </c>
      <c r="D28" s="121">
        <v>4.0993980491966175E-2</v>
      </c>
      <c r="E28" s="114">
        <v>0.7523597302308499</v>
      </c>
      <c r="F28" s="115">
        <v>0.75995930202165163</v>
      </c>
      <c r="G28" s="116">
        <v>0.22</v>
      </c>
      <c r="H28" s="122">
        <v>0.22054798612042836</v>
      </c>
      <c r="I28" s="121">
        <v>9.9999720650637558E-3</v>
      </c>
      <c r="J28" s="118">
        <f t="shared" si="0"/>
        <v>4266.96</v>
      </c>
      <c r="K28" s="119">
        <v>0</v>
      </c>
      <c r="L28">
        <v>0.2</v>
      </c>
      <c r="M28">
        <v>0.97</v>
      </c>
    </row>
    <row r="29" spans="1:13" ht="16.5" thickBot="1" x14ac:dyDescent="0.35">
      <c r="A29" t="s">
        <v>113</v>
      </c>
      <c r="B29" s="103">
        <v>700</v>
      </c>
      <c r="C29" s="120">
        <v>2171745</v>
      </c>
      <c r="D29" s="121">
        <v>4.1472097322659891E-2</v>
      </c>
      <c r="E29" s="114">
        <v>0.75144480804407388</v>
      </c>
      <c r="F29" s="115">
        <v>0.75903515731097437</v>
      </c>
      <c r="G29" s="116">
        <v>0.22</v>
      </c>
      <c r="H29" s="122">
        <v>0.22054793784888818</v>
      </c>
      <c r="I29" s="121">
        <v>9.9999969616569873E-3</v>
      </c>
      <c r="J29" s="118">
        <f t="shared" si="0"/>
        <v>3102.4928571428572</v>
      </c>
      <c r="K29" s="119">
        <v>0</v>
      </c>
      <c r="L29">
        <v>0.2</v>
      </c>
      <c r="M29">
        <v>0.97</v>
      </c>
    </row>
    <row r="30" spans="1:13" ht="16.5" thickBot="1" x14ac:dyDescent="0.35">
      <c r="A30" t="s">
        <v>146</v>
      </c>
      <c r="B30" s="103">
        <v>250</v>
      </c>
      <c r="C30" s="120">
        <v>1212943</v>
      </c>
      <c r="D30" s="121">
        <v>2.0626327865365481E-2</v>
      </c>
      <c r="E30" s="114">
        <v>0.78798132706848822</v>
      </c>
      <c r="F30" s="115">
        <v>0.79998105299684674</v>
      </c>
      <c r="G30" s="116">
        <v>0.23</v>
      </c>
      <c r="H30" s="122">
        <v>0.22054790355941045</v>
      </c>
      <c r="I30" s="121">
        <v>1.5000012667057416E-2</v>
      </c>
      <c r="J30" s="118">
        <f t="shared" si="0"/>
        <v>4851.7719999999999</v>
      </c>
      <c r="K30" s="119">
        <v>0</v>
      </c>
      <c r="L30">
        <v>0.02</v>
      </c>
      <c r="M30">
        <v>0.98</v>
      </c>
    </row>
    <row r="31" spans="1:13" ht="16.5" thickBot="1" x14ac:dyDescent="0.35">
      <c r="A31" s="123" t="s">
        <v>146</v>
      </c>
      <c r="B31" s="124">
        <v>500</v>
      </c>
      <c r="C31" s="125">
        <v>1819414</v>
      </c>
      <c r="D31" s="126">
        <v>1.4328657468833371E-2</v>
      </c>
      <c r="E31" s="127">
        <v>0.78530121862696933</v>
      </c>
      <c r="F31" s="128">
        <v>0.79726014550387314</v>
      </c>
      <c r="G31" s="116">
        <v>0.23</v>
      </c>
      <c r="H31" s="129">
        <v>0.22054791636103266</v>
      </c>
      <c r="I31" s="126">
        <v>1.5000030974012479E-2</v>
      </c>
      <c r="J31" s="118">
        <f t="shared" si="0"/>
        <v>3638.828</v>
      </c>
      <c r="K31" s="119">
        <v>0</v>
      </c>
      <c r="L31" s="123">
        <v>0.02</v>
      </c>
      <c r="M31" s="123">
        <v>0.98</v>
      </c>
    </row>
    <row r="32" spans="1:13" ht="16.5" thickBot="1" x14ac:dyDescent="0.35">
      <c r="A32" t="s">
        <v>146</v>
      </c>
      <c r="B32" s="103">
        <v>700</v>
      </c>
      <c r="C32" s="120">
        <v>2183297</v>
      </c>
      <c r="D32" s="121">
        <v>1.2942013844199849E-2</v>
      </c>
      <c r="E32" s="114">
        <v>0.78655791198544678</v>
      </c>
      <c r="F32" s="115">
        <v>0.79853595413894918</v>
      </c>
      <c r="G32" s="116">
        <v>0.23</v>
      </c>
      <c r="H32" s="122">
        <v>0.22054794528958732</v>
      </c>
      <c r="I32" s="121">
        <v>1.5000003558284569E-2</v>
      </c>
      <c r="J32" s="118">
        <f t="shared" si="0"/>
        <v>3118.9957142857143</v>
      </c>
      <c r="K32" s="119">
        <v>0</v>
      </c>
      <c r="L32">
        <v>0.02</v>
      </c>
      <c r="M32">
        <v>0.98</v>
      </c>
    </row>
    <row r="33" spans="1:13" ht="16.5" thickBot="1" x14ac:dyDescent="0.35">
      <c r="A33" t="s">
        <v>146</v>
      </c>
      <c r="B33" s="103">
        <v>1400</v>
      </c>
      <c r="C33" s="120">
        <v>2668474</v>
      </c>
      <c r="D33" s="121">
        <v>1.103012433323315E-2</v>
      </c>
      <c r="E33" s="114">
        <v>0.78591062151844671</v>
      </c>
      <c r="F33" s="115">
        <v>0.79787879862526556</v>
      </c>
      <c r="G33" s="116">
        <v>0.23</v>
      </c>
      <c r="H33" s="122">
        <v>0.22054794533353131</v>
      </c>
      <c r="I33" s="121">
        <v>1.4999993893107355E-2</v>
      </c>
      <c r="J33" s="118">
        <f t="shared" si="0"/>
        <v>1906.0528571428572</v>
      </c>
      <c r="K33" s="119">
        <v>0</v>
      </c>
      <c r="L33">
        <v>0.02</v>
      </c>
      <c r="M33">
        <v>0.98</v>
      </c>
    </row>
    <row r="34" spans="1:13" ht="16.5" thickBot="1" x14ac:dyDescent="0.35">
      <c r="A34" t="s">
        <v>146</v>
      </c>
      <c r="B34" s="103">
        <v>2000</v>
      </c>
      <c r="C34" s="120">
        <v>3153651</v>
      </c>
      <c r="D34" s="121">
        <v>1.0133169459778523E-2</v>
      </c>
      <c r="E34" s="114">
        <v>0.78655790988117757</v>
      </c>
      <c r="F34" s="115">
        <v>0.79853595171533198</v>
      </c>
      <c r="G34" s="116">
        <v>0.23</v>
      </c>
      <c r="H34" s="122">
        <v>0.22054793873288867</v>
      </c>
      <c r="I34" s="121">
        <v>1.5000003203893719E-2</v>
      </c>
      <c r="J34" s="118">
        <f t="shared" si="0"/>
        <v>1576.8254999999999</v>
      </c>
      <c r="K34" s="119">
        <v>0</v>
      </c>
      <c r="L34">
        <v>0.02</v>
      </c>
      <c r="M34">
        <v>0.98</v>
      </c>
    </row>
    <row r="35" spans="1:13" ht="16.5" thickBot="1" x14ac:dyDescent="0.35">
      <c r="A35" t="s">
        <v>146</v>
      </c>
      <c r="B35" s="103">
        <v>2800</v>
      </c>
      <c r="C35" s="120">
        <v>3760122</v>
      </c>
      <c r="D35" s="121">
        <v>8.767170320537471E-3</v>
      </c>
      <c r="E35" s="114">
        <v>0.78798129123239646</v>
      </c>
      <c r="F35" s="115">
        <v>0.79998100738641886</v>
      </c>
      <c r="G35" s="116">
        <v>0.23</v>
      </c>
      <c r="H35" s="122">
        <v>0.22054794312337003</v>
      </c>
      <c r="I35" s="121">
        <v>1.5000001304063648E-2</v>
      </c>
      <c r="J35" s="118">
        <f t="shared" si="0"/>
        <v>1342.9007142857142</v>
      </c>
      <c r="K35" s="119">
        <v>0</v>
      </c>
      <c r="L35">
        <v>0.02</v>
      </c>
      <c r="M35">
        <v>0.98</v>
      </c>
    </row>
    <row r="36" spans="1:13" x14ac:dyDescent="0.25"/>
    <row r="37" spans="1:13" x14ac:dyDescent="0.25">
      <c r="A37" s="130" t="s">
        <v>147</v>
      </c>
      <c r="B37" t="s">
        <v>148</v>
      </c>
      <c r="C37" t="s">
        <v>149</v>
      </c>
      <c r="D37" t="s">
        <v>150</v>
      </c>
      <c r="E37" t="s">
        <v>151</v>
      </c>
      <c r="F37" t="s">
        <v>152</v>
      </c>
    </row>
    <row r="38" spans="1:13" ht="15.75" x14ac:dyDescent="0.3">
      <c r="A38" t="s">
        <v>112</v>
      </c>
      <c r="B38" s="131">
        <f>-0.2167* $B$4+ 2340</f>
        <v>2340</v>
      </c>
      <c r="C38" s="132">
        <f xml:space="preserve"> -0.00001*B4 + 0.056</f>
        <v>5.6000000000000001E-2</v>
      </c>
      <c r="D38">
        <f>G15</f>
        <v>0.09</v>
      </c>
      <c r="E38" s="133">
        <f>I15</f>
        <v>9.9998259203415429E-4</v>
      </c>
      <c r="F38" s="133">
        <f>M15</f>
        <v>0.99</v>
      </c>
    </row>
    <row r="39" spans="1:13" ht="15.75" x14ac:dyDescent="0.3">
      <c r="A39" t="s">
        <v>111</v>
      </c>
      <c r="B39" s="131" t="e">
        <f>68639*$B$4^(-0.476)</f>
        <v>#DIV/0!</v>
      </c>
      <c r="C39" s="132">
        <f xml:space="preserve"> 0.000003*B4 + 0.0148</f>
        <v>1.4800000000000001E-2</v>
      </c>
      <c r="D39">
        <f>G19</f>
        <v>0.25</v>
      </c>
      <c r="E39" s="133">
        <f>I19</f>
        <v>1.0000024440475985E-2</v>
      </c>
      <c r="F39" s="133">
        <f>M19</f>
        <v>0.98</v>
      </c>
    </row>
    <row r="40" spans="1:13" ht="15.75" x14ac:dyDescent="0.3">
      <c r="A40" t="s">
        <v>145</v>
      </c>
      <c r="B40" s="131" t="e">
        <f>304829*$B$4^(-0.683)</f>
        <v>#DIV/0!</v>
      </c>
      <c r="C40" s="132">
        <f>0.000004*B4 + 0.0266</f>
        <v>2.6599999999999999E-2</v>
      </c>
      <c r="D40">
        <f>G23</f>
        <v>0.25</v>
      </c>
      <c r="E40" s="133">
        <f>I23</f>
        <v>1.5000017115817443E-2</v>
      </c>
      <c r="F40" s="133">
        <f>M23</f>
        <v>0.97</v>
      </c>
    </row>
    <row r="41" spans="1:13" ht="15.75" x14ac:dyDescent="0.3">
      <c r="A41" t="s">
        <v>113</v>
      </c>
      <c r="B41" s="131">
        <f>-3.8816*$B$4 + 5819.6</f>
        <v>5819.6</v>
      </c>
      <c r="C41" s="132">
        <f>0.000002*B4 + 0.0404</f>
        <v>4.0399999999999998E-2</v>
      </c>
      <c r="D41">
        <f>G29</f>
        <v>0.22</v>
      </c>
      <c r="E41" s="133">
        <f>I28</f>
        <v>9.9999720650637558E-3</v>
      </c>
      <c r="F41" s="133">
        <f>M28</f>
        <v>0.97</v>
      </c>
    </row>
    <row r="42" spans="1:13" ht="15.75" x14ac:dyDescent="0.3">
      <c r="A42" t="s">
        <v>146</v>
      </c>
      <c r="B42" s="131" t="e">
        <f>111027*$B$4^(-0.556)</f>
        <v>#DIV/0!</v>
      </c>
      <c r="C42" s="132" t="e">
        <f xml:space="preserve"> 0.1159*B4^(-0.326)</f>
        <v>#DIV/0!</v>
      </c>
      <c r="D42">
        <f>G30</f>
        <v>0.23</v>
      </c>
      <c r="E42" s="133">
        <f>I30</f>
        <v>1.5000012667057416E-2</v>
      </c>
      <c r="F42" s="133">
        <f>M30</f>
        <v>0.98</v>
      </c>
    </row>
    <row r="43" spans="1:13" x14ac:dyDescent="0.25"/>
    <row r="44" spans="1:13" x14ac:dyDescent="0.25">
      <c r="A44" s="103">
        <v>250</v>
      </c>
    </row>
    <row r="45" spans="1:13" x14ac:dyDescent="0.25">
      <c r="A45" s="103">
        <v>350</v>
      </c>
    </row>
    <row r="46" spans="1:13" x14ac:dyDescent="0.25">
      <c r="A46" s="103">
        <v>400</v>
      </c>
    </row>
    <row r="47" spans="1:13" x14ac:dyDescent="0.25">
      <c r="A47" s="103">
        <v>500</v>
      </c>
    </row>
    <row r="48" spans="1:13" x14ac:dyDescent="0.25">
      <c r="A48" s="103">
        <v>700</v>
      </c>
    </row>
    <row r="49" spans="1:1" x14ac:dyDescent="0.25">
      <c r="A49" s="103">
        <v>1400</v>
      </c>
    </row>
    <row r="50" spans="1:1" x14ac:dyDescent="0.25">
      <c r="A50" s="103">
        <v>2000</v>
      </c>
    </row>
    <row r="51" spans="1:1" x14ac:dyDescent="0.25">
      <c r="A51" s="103">
        <v>2800</v>
      </c>
    </row>
    <row r="52" spans="1:1" x14ac:dyDescent="0.25"/>
    <row r="53" spans="1:1" x14ac:dyDescent="0.25"/>
    <row r="54" spans="1:1" x14ac:dyDescent="0.25"/>
    <row r="55" spans="1:1" x14ac:dyDescent="0.25"/>
    <row r="56" spans="1:1" x14ac:dyDescent="0.25"/>
    <row r="57" spans="1:1" x14ac:dyDescent="0.25"/>
  </sheetData>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9AC62-7C50-4BF4-A2CA-F27E0E824015}">
  <dimension ref="B1:B40"/>
  <sheetViews>
    <sheetView workbookViewId="0">
      <selection activeCell="B38" sqref="B38"/>
    </sheetView>
  </sheetViews>
  <sheetFormatPr baseColWidth="10" defaultRowHeight="15" customHeight="1" x14ac:dyDescent="0.25"/>
  <sheetData>
    <row r="1" spans="2:2" s="31" customFormat="1" ht="16.5" x14ac:dyDescent="0.3"/>
    <row r="2" spans="2:2" s="31" customFormat="1" ht="16.5" x14ac:dyDescent="0.3">
      <c r="B2" s="247" t="s">
        <v>35</v>
      </c>
    </row>
    <row r="3" spans="2:2" s="31" customFormat="1" ht="16.5" x14ac:dyDescent="0.3">
      <c r="B3" s="247" t="s">
        <v>36</v>
      </c>
    </row>
    <row r="4" spans="2:2" s="31" customFormat="1" ht="16.5" x14ac:dyDescent="0.3">
      <c r="B4" s="31" t="s">
        <v>37</v>
      </c>
    </row>
    <row r="5" spans="2:2" s="31" customFormat="1" ht="16.5" x14ac:dyDescent="0.3">
      <c r="B5" s="31" t="s">
        <v>38</v>
      </c>
    </row>
    <row r="6" spans="2:2" s="31" customFormat="1" ht="16.5" x14ac:dyDescent="0.3">
      <c r="B6" s="247" t="s">
        <v>39</v>
      </c>
    </row>
    <row r="7" spans="2:2" s="31" customFormat="1" ht="16.5" x14ac:dyDescent="0.3">
      <c r="B7" s="31" t="s">
        <v>40</v>
      </c>
    </row>
    <row r="8" spans="2:2" s="31" customFormat="1" ht="16.5" x14ac:dyDescent="0.3">
      <c r="B8" s="31" t="s">
        <v>41</v>
      </c>
    </row>
    <row r="9" spans="2:2" s="31" customFormat="1" ht="16.5" x14ac:dyDescent="0.3">
      <c r="B9" s="31" t="s">
        <v>42</v>
      </c>
    </row>
    <row r="10" spans="2:2" s="31" customFormat="1" ht="16.5" x14ac:dyDescent="0.3">
      <c r="B10" s="31" t="s">
        <v>43</v>
      </c>
    </row>
    <row r="11" spans="2:2" s="31" customFormat="1" ht="16.5" x14ac:dyDescent="0.3">
      <c r="B11" s="31" t="s">
        <v>44</v>
      </c>
    </row>
    <row r="12" spans="2:2" s="31" customFormat="1" ht="16.5" x14ac:dyDescent="0.3">
      <c r="B12" s="31" t="s">
        <v>45</v>
      </c>
    </row>
    <row r="13" spans="2:2" s="31" customFormat="1" ht="16.5" x14ac:dyDescent="0.3">
      <c r="B13" s="31" t="s">
        <v>46</v>
      </c>
    </row>
    <row r="14" spans="2:2" s="31" customFormat="1" ht="16.5" x14ac:dyDescent="0.3">
      <c r="B14" s="31" t="s">
        <v>47</v>
      </c>
    </row>
    <row r="15" spans="2:2" s="31" customFormat="1" ht="16.5" x14ac:dyDescent="0.3">
      <c r="B15" s="31" t="s">
        <v>48</v>
      </c>
    </row>
    <row r="16" spans="2:2" s="31" customFormat="1" ht="16.5" x14ac:dyDescent="0.3">
      <c r="B16" s="31" t="s">
        <v>49</v>
      </c>
    </row>
    <row r="17" spans="2:2" s="31" customFormat="1" ht="16.5" x14ac:dyDescent="0.3">
      <c r="B17" s="31" t="s">
        <v>50</v>
      </c>
    </row>
    <row r="18" spans="2:2" s="31" customFormat="1" ht="16.5" x14ac:dyDescent="0.3">
      <c r="B18" s="31" t="s">
        <v>51</v>
      </c>
    </row>
    <row r="19" spans="2:2" s="31" customFormat="1" ht="16.5" x14ac:dyDescent="0.3">
      <c r="B19" s="31" t="s">
        <v>52</v>
      </c>
    </row>
    <row r="20" spans="2:2" s="31" customFormat="1" ht="16.5" x14ac:dyDescent="0.3">
      <c r="B20" s="31" t="s">
        <v>53</v>
      </c>
    </row>
    <row r="21" spans="2:2" s="31" customFormat="1" ht="16.5" x14ac:dyDescent="0.3">
      <c r="B21" s="31" t="s">
        <v>54</v>
      </c>
    </row>
    <row r="22" spans="2:2" s="31" customFormat="1" ht="16.5" x14ac:dyDescent="0.3">
      <c r="B22" s="31" t="s">
        <v>55</v>
      </c>
    </row>
    <row r="23" spans="2:2" s="31" customFormat="1" ht="16.5" x14ac:dyDescent="0.3">
      <c r="B23" s="31" t="s">
        <v>56</v>
      </c>
    </row>
    <row r="24" spans="2:2" s="31" customFormat="1" ht="16.5" x14ac:dyDescent="0.3">
      <c r="B24" s="31" t="s">
        <v>57</v>
      </c>
    </row>
    <row r="25" spans="2:2" s="31" customFormat="1" ht="16.5" x14ac:dyDescent="0.3">
      <c r="B25" s="31" t="s">
        <v>58</v>
      </c>
    </row>
    <row r="26" spans="2:2" s="31" customFormat="1" ht="16.5" x14ac:dyDescent="0.3">
      <c r="B26" s="31" t="s">
        <v>59</v>
      </c>
    </row>
    <row r="27" spans="2:2" s="31" customFormat="1" ht="16.5" x14ac:dyDescent="0.3">
      <c r="B27" s="247" t="s">
        <v>60</v>
      </c>
    </row>
    <row r="28" spans="2:2" s="31" customFormat="1" ht="16.5" x14ac:dyDescent="0.3">
      <c r="B28" s="31" t="s">
        <v>61</v>
      </c>
    </row>
    <row r="29" spans="2:2" s="31" customFormat="1" ht="16.5" x14ac:dyDescent="0.3">
      <c r="B29" s="31" t="s">
        <v>62</v>
      </c>
    </row>
    <row r="30" spans="2:2" s="31" customFormat="1" ht="16.5" x14ac:dyDescent="0.3">
      <c r="B30" s="31" t="s">
        <v>63</v>
      </c>
    </row>
    <row r="31" spans="2:2" s="31" customFormat="1" ht="16.5" x14ac:dyDescent="0.3">
      <c r="B31" s="31" t="s">
        <v>64</v>
      </c>
    </row>
    <row r="32" spans="2:2" s="31" customFormat="1" ht="16.5" x14ac:dyDescent="0.3">
      <c r="B32" s="31" t="s">
        <v>65</v>
      </c>
    </row>
    <row r="33" spans="2:2" s="31" customFormat="1" ht="16.5" x14ac:dyDescent="0.3">
      <c r="B33" s="31" t="s">
        <v>66</v>
      </c>
    </row>
    <row r="34" spans="2:2" s="31" customFormat="1" ht="16.5" x14ac:dyDescent="0.3">
      <c r="B34" s="31" t="s">
        <v>67</v>
      </c>
    </row>
    <row r="35" spans="2:2" s="31" customFormat="1" ht="16.5" x14ac:dyDescent="0.3">
      <c r="B35" s="31" t="s">
        <v>68</v>
      </c>
    </row>
    <row r="36" spans="2:2" s="31" customFormat="1" ht="16.5" x14ac:dyDescent="0.3">
      <c r="B36" s="31" t="s">
        <v>69</v>
      </c>
    </row>
    <row r="37" spans="2:2" s="31" customFormat="1" ht="16.5" x14ac:dyDescent="0.3">
      <c r="B37" s="31" t="s">
        <v>70</v>
      </c>
    </row>
    <row r="38" spans="2:2" s="31" customFormat="1" ht="16.5" x14ac:dyDescent="0.3">
      <c r="B38" s="247" t="s">
        <v>71</v>
      </c>
    </row>
    <row r="39" spans="2:2" s="31" customFormat="1" ht="16.5" x14ac:dyDescent="0.3">
      <c r="B39" s="31" t="s">
        <v>72</v>
      </c>
    </row>
    <row r="40" spans="2:2" s="31" customFormat="1" ht="16.5" x14ac:dyDescent="0.3">
      <c r="B40" s="247" t="s">
        <v>73</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3</vt:i4>
      </vt:variant>
    </vt:vector>
  </HeadingPairs>
  <TitlesOfParts>
    <vt:vector size="11" baseType="lpstr">
      <vt:lpstr>Einsatzstoffe Nr. 2.1</vt:lpstr>
      <vt:lpstr>CO2_Minderung_2.1</vt:lpstr>
      <vt:lpstr>Kostenplan Nr. 2.1</vt:lpstr>
      <vt:lpstr>Anlage W Nr. 2.1</vt:lpstr>
      <vt:lpstr>Fördergrenzen</vt:lpstr>
      <vt:lpstr>Wirtschaftlichkeitsberechnung</vt:lpstr>
      <vt:lpstr>Gasaufbereitungsanlagen</vt:lpstr>
      <vt:lpstr>Nabisy-Liste</vt:lpstr>
      <vt:lpstr>'Einsatzstoffe Nr. 2.1'!Druckbereich</vt:lpstr>
      <vt:lpstr>'Kostenplan Nr. 2.1'!Druckbereich</vt:lpstr>
      <vt:lpstr>Wirtschaftlichkeitsberechnung!Druckbereich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Wagner, Robert (carmen-ev)</dc:creator>
  <cp:lastModifiedBy>Faltl, Sonja (tfz)</cp:lastModifiedBy>
  <cp:lastPrinted>2024-04-18T11:27:02Z</cp:lastPrinted>
  <dcterms:created xsi:type="dcterms:W3CDTF">2023-10-19T14:44:46Z</dcterms:created>
  <dcterms:modified xsi:type="dcterms:W3CDTF">2024-07-22T12:50:32Z</dcterms:modified>
</cp:coreProperties>
</file>